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codeName="ThisWorkbook" defaultThemeVersion="124226"/>
  <mc:AlternateContent xmlns:mc="http://schemas.openxmlformats.org/markup-compatibility/2006">
    <mc:Choice Requires="x15">
      <x15ac:absPath xmlns:x15ac="http://schemas.microsoft.com/office/spreadsheetml/2010/11/ac" url="Z:\税務課\4．国民健康保険税\06 税額試算\"/>
    </mc:Choice>
  </mc:AlternateContent>
  <xr:revisionPtr revIDLastSave="0" documentId="13_ncr:1_{63AA9B00-0D6D-4A54-ABAB-E0924D793131}" xr6:coauthVersionLast="47" xr6:coauthVersionMax="47" xr10:uidLastSave="{00000000-0000-0000-0000-000000000000}"/>
  <workbookProtection lockWindows="1"/>
  <bookViews>
    <workbookView xWindow="420" yWindow="0" windowWidth="21180" windowHeight="13680" activeTab="1" xr2:uid="{00000000-000D-0000-FFFF-FFFF00000000}"/>
  </bookViews>
  <sheets>
    <sheet name="使い方" sheetId="14" r:id="rId1"/>
    <sheet name="【令和8年度】大崎上島町国民健康保険税試算" sheetId="1" r:id="rId2"/>
    <sheet name="基礎情報" sheetId="8" state="hidden" r:id="rId3"/>
    <sheet name="軽減判定" sheetId="4" state="hidden" r:id="rId4"/>
    <sheet name="給与所得" sheetId="11" state="hidden" r:id="rId5"/>
    <sheet name="年金所得" sheetId="13" state="hidden" r:id="rId6"/>
  </sheets>
  <definedNames>
    <definedName name="_xlnm.Print_Area" localSheetId="1">【令和8年度】大崎上島町国民健康保険税試算!$A$1:$V$47</definedName>
    <definedName name="_xlnm.Print_Area" localSheetId="0">使い方!$A$1:$X$52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4" l="1"/>
  <c r="B8" i="8"/>
  <c r="C14" i="8"/>
  <c r="S29" i="11"/>
  <c r="S28" i="11"/>
  <c r="S27" i="11"/>
  <c r="S26" i="11"/>
  <c r="S25" i="11"/>
  <c r="S24" i="11"/>
  <c r="S23" i="11"/>
  <c r="S22" i="11"/>
  <c r="S21" i="11"/>
  <c r="S20" i="11"/>
  <c r="M29" i="11"/>
  <c r="M28" i="11"/>
  <c r="M27" i="11"/>
  <c r="M26" i="11"/>
  <c r="M25" i="11"/>
  <c r="M24" i="11"/>
  <c r="M23" i="11"/>
  <c r="M22" i="11"/>
  <c r="M21" i="11"/>
  <c r="M20" i="11"/>
  <c r="G29" i="11"/>
  <c r="G28" i="11"/>
  <c r="G27" i="11"/>
  <c r="G26" i="11"/>
  <c r="G25" i="11"/>
  <c r="G24" i="11"/>
  <c r="G23" i="11"/>
  <c r="G22" i="11"/>
  <c r="G21" i="11"/>
  <c r="G20" i="11"/>
  <c r="A29" i="11"/>
  <c r="A28" i="11"/>
  <c r="A27" i="11"/>
  <c r="A26" i="11"/>
  <c r="A25" i="11"/>
  <c r="A24" i="11"/>
  <c r="A23" i="11"/>
  <c r="A22" i="11"/>
  <c r="A21" i="11"/>
  <c r="A20" i="11"/>
  <c r="S14" i="11"/>
  <c r="S13" i="11"/>
  <c r="S12" i="11"/>
  <c r="S11" i="11"/>
  <c r="S10" i="11"/>
  <c r="S9" i="11"/>
  <c r="S8" i="11"/>
  <c r="S7" i="11"/>
  <c r="S6" i="11"/>
  <c r="S5" i="11"/>
  <c r="M14" i="11"/>
  <c r="M13" i="11"/>
  <c r="M12" i="11"/>
  <c r="M11" i="11"/>
  <c r="M10" i="11"/>
  <c r="M9" i="11"/>
  <c r="M8" i="11"/>
  <c r="M7" i="11"/>
  <c r="M6" i="11"/>
  <c r="M5" i="11"/>
  <c r="G14" i="11"/>
  <c r="G13" i="11"/>
  <c r="G12" i="11"/>
  <c r="G11" i="11"/>
  <c r="G10" i="11"/>
  <c r="G9" i="11"/>
  <c r="G8" i="11"/>
  <c r="G7" i="11"/>
  <c r="G6" i="11"/>
  <c r="G5" i="11"/>
  <c r="J27" i="1" l="1"/>
  <c r="J40" i="1" l="1"/>
  <c r="J30" i="1"/>
  <c r="J25" i="1"/>
  <c r="D9" i="1" l="1"/>
  <c r="O9" i="1" s="1"/>
  <c r="D10" i="1" l="1"/>
  <c r="O10" i="1" s="1"/>
  <c r="B6" i="4" l="1"/>
  <c r="B5" i="4"/>
  <c r="C17" i="8" l="1"/>
  <c r="C13" i="8"/>
  <c r="A4" i="4" s="1"/>
  <c r="E4" i="4" s="1"/>
  <c r="D13" i="8"/>
  <c r="E13" i="8"/>
  <c r="F13" i="8"/>
  <c r="G13" i="8"/>
  <c r="H13" i="8"/>
  <c r="I13" i="8"/>
  <c r="J13" i="8"/>
  <c r="F19" i="8"/>
  <c r="C15" i="8"/>
  <c r="E15" i="8"/>
  <c r="C16" i="8"/>
  <c r="D16" i="8"/>
  <c r="E16" i="8"/>
  <c r="F16" i="8"/>
  <c r="D17" i="8"/>
  <c r="E17" i="8"/>
  <c r="F17" i="8"/>
  <c r="G17" i="8"/>
  <c r="C18" i="8"/>
  <c r="D18" i="8"/>
  <c r="E18" i="8"/>
  <c r="F18" i="8"/>
  <c r="G18" i="8"/>
  <c r="H18" i="8"/>
  <c r="C19" i="8"/>
  <c r="D19" i="8"/>
  <c r="E19" i="8"/>
  <c r="F20" i="8"/>
  <c r="J20" i="8"/>
  <c r="D22" i="8"/>
  <c r="J29" i="8" l="1"/>
  <c r="D15" i="8"/>
  <c r="E21" i="8"/>
  <c r="J21" i="8"/>
  <c r="I21" i="8"/>
  <c r="D21" i="8"/>
  <c r="E23" i="8"/>
  <c r="H21" i="8"/>
  <c r="G21" i="8"/>
  <c r="F21" i="8"/>
  <c r="C21" i="8"/>
  <c r="D23" i="8"/>
  <c r="C23" i="8"/>
  <c r="C22" i="8"/>
  <c r="D14" i="8"/>
  <c r="I19" i="8"/>
  <c r="H20" i="8"/>
  <c r="E20" i="8"/>
  <c r="H19" i="8"/>
  <c r="C20" i="8"/>
  <c r="G19" i="8"/>
  <c r="I20" i="8"/>
  <c r="G20" i="8"/>
  <c r="D20" i="8"/>
  <c r="I27" i="8"/>
  <c r="I29" i="8"/>
  <c r="I28" i="8"/>
  <c r="J28" i="8"/>
  <c r="B20" i="1"/>
  <c r="A14" i="11"/>
  <c r="A13" i="11"/>
  <c r="A12" i="11"/>
  <c r="A11" i="11"/>
  <c r="A10" i="11"/>
  <c r="A9" i="11"/>
  <c r="A8" i="11"/>
  <c r="A7" i="11"/>
  <c r="A6" i="11"/>
  <c r="A5" i="11"/>
  <c r="C2" i="1" l="1"/>
  <c r="E2" i="1" s="1"/>
  <c r="D11" i="1" l="1"/>
  <c r="O11" i="1" s="1"/>
  <c r="D12" i="1"/>
  <c r="O12" i="1" s="1"/>
  <c r="D13" i="1"/>
  <c r="O13" i="1" s="1"/>
  <c r="D14" i="1"/>
  <c r="O14" i="1" s="1"/>
  <c r="D15" i="1"/>
  <c r="O15" i="1" s="1"/>
  <c r="D16" i="1"/>
  <c r="O16" i="1" s="1"/>
  <c r="J33" i="1" l="1"/>
  <c r="H33" i="1"/>
  <c r="I33" i="1"/>
  <c r="G33" i="1"/>
  <c r="B1" i="4" s="1"/>
  <c r="G25" i="1"/>
  <c r="H25" i="1"/>
  <c r="I25" i="1"/>
  <c r="G27" i="1"/>
  <c r="H27" i="1"/>
  <c r="I27" i="1"/>
  <c r="G30" i="1"/>
  <c r="H30" i="1"/>
  <c r="G40" i="1"/>
  <c r="H40" i="1"/>
  <c r="I40" i="1"/>
  <c r="AA7" i="1" l="1"/>
  <c r="AA16" i="1" s="1"/>
  <c r="F16" i="1" s="1"/>
  <c r="AD16" i="1" s="1"/>
  <c r="AL16" i="1" s="1"/>
  <c r="Z7" i="1"/>
  <c r="Z12" i="1" s="1"/>
  <c r="Y7" i="1"/>
  <c r="Y16" i="1" s="1"/>
  <c r="X7" i="1"/>
  <c r="X12" i="1" s="1"/>
  <c r="W7" i="1"/>
  <c r="W16" i="1" s="1"/>
  <c r="V7" i="1"/>
  <c r="V12" i="1" s="1"/>
  <c r="U7" i="1"/>
  <c r="U16" i="1" s="1"/>
  <c r="T7" i="1"/>
  <c r="T12" i="1" s="1"/>
  <c r="S7" i="1"/>
  <c r="S16" i="1" s="1"/>
  <c r="R7" i="1"/>
  <c r="R12" i="1" s="1"/>
  <c r="Q7" i="1"/>
  <c r="P7" i="1"/>
  <c r="P9" i="1" s="1"/>
  <c r="P12" i="1" l="1"/>
  <c r="P10" i="1"/>
  <c r="Q16" i="1"/>
  <c r="Q10" i="1"/>
  <c r="E16" i="1"/>
  <c r="S10" i="1"/>
  <c r="W11" i="1"/>
  <c r="Q9" i="1"/>
  <c r="Y9" i="1"/>
  <c r="U10" i="1"/>
  <c r="Q11" i="1"/>
  <c r="Y11" i="1"/>
  <c r="U12" i="1"/>
  <c r="S9" i="1"/>
  <c r="AA9" i="1"/>
  <c r="F9" i="1" s="1"/>
  <c r="W10" i="1"/>
  <c r="S11" i="1"/>
  <c r="AA11" i="1"/>
  <c r="W12" i="1"/>
  <c r="U9" i="1"/>
  <c r="Y10" i="1"/>
  <c r="U11" i="1"/>
  <c r="Q12" i="1"/>
  <c r="Y12" i="1"/>
  <c r="W9" i="1"/>
  <c r="AA10" i="1"/>
  <c r="S12" i="1"/>
  <c r="AA12" i="1"/>
  <c r="P13" i="1"/>
  <c r="T13" i="1"/>
  <c r="X13" i="1"/>
  <c r="P14" i="1"/>
  <c r="T14" i="1"/>
  <c r="X14" i="1"/>
  <c r="P15" i="1"/>
  <c r="T15" i="1"/>
  <c r="X15" i="1"/>
  <c r="P16" i="1"/>
  <c r="T16" i="1"/>
  <c r="X16" i="1"/>
  <c r="Q13" i="1"/>
  <c r="U13" i="1"/>
  <c r="Y13" i="1"/>
  <c r="Q14" i="1"/>
  <c r="U14" i="1"/>
  <c r="Y14" i="1"/>
  <c r="Q15" i="1"/>
  <c r="U15" i="1"/>
  <c r="Y15" i="1"/>
  <c r="T9" i="1"/>
  <c r="X9" i="1"/>
  <c r="T10" i="1"/>
  <c r="X10" i="1"/>
  <c r="P11" i="1"/>
  <c r="T11" i="1"/>
  <c r="X11" i="1"/>
  <c r="R13" i="1"/>
  <c r="V14" i="1"/>
  <c r="R16" i="1"/>
  <c r="V13" i="1"/>
  <c r="Z13" i="1"/>
  <c r="R14" i="1"/>
  <c r="Z14" i="1"/>
  <c r="R15" i="1"/>
  <c r="V15" i="1"/>
  <c r="Z15" i="1"/>
  <c r="V16" i="1"/>
  <c r="Z16" i="1"/>
  <c r="S13" i="1"/>
  <c r="W13" i="1"/>
  <c r="AA13" i="1"/>
  <c r="F13" i="1" s="1"/>
  <c r="AD13" i="1" s="1"/>
  <c r="S14" i="1"/>
  <c r="W14" i="1"/>
  <c r="AA14" i="1"/>
  <c r="S15" i="1"/>
  <c r="W15" i="1"/>
  <c r="AA15" i="1"/>
  <c r="R9" i="1"/>
  <c r="V9" i="1"/>
  <c r="Z9" i="1"/>
  <c r="R10" i="1"/>
  <c r="V10" i="1"/>
  <c r="Z10" i="1"/>
  <c r="R11" i="1"/>
  <c r="V11" i="1"/>
  <c r="Z11" i="1"/>
  <c r="F11" i="1" l="1"/>
  <c r="AD11" i="1" s="1"/>
  <c r="AL11" i="1" s="1"/>
  <c r="F15" i="1"/>
  <c r="AD15" i="1" s="1"/>
  <c r="AL15" i="1" s="1"/>
  <c r="F12" i="1"/>
  <c r="AD12" i="1" s="1"/>
  <c r="AL12" i="1" s="1"/>
  <c r="F14" i="1"/>
  <c r="AD14" i="1" s="1"/>
  <c r="AL14" i="1" s="1"/>
  <c r="F10" i="1"/>
  <c r="AD10" i="1" s="1"/>
  <c r="AD9" i="1"/>
  <c r="AL9" i="1" s="1"/>
  <c r="AB9" i="1"/>
  <c r="AH9" i="1" s="1"/>
  <c r="AB13" i="1"/>
  <c r="E9" i="1"/>
  <c r="AB16" i="1"/>
  <c r="E12" i="1"/>
  <c r="AB12" i="1"/>
  <c r="E14" i="1"/>
  <c r="AB14" i="1"/>
  <c r="E15" i="1"/>
  <c r="AB15" i="1"/>
  <c r="E11" i="1"/>
  <c r="AB11" i="1"/>
  <c r="E13" i="1"/>
  <c r="G35" i="1" s="1"/>
  <c r="AB10" i="1"/>
  <c r="E10" i="1"/>
  <c r="H35" i="1" s="1"/>
  <c r="AL10" i="1" l="1"/>
  <c r="J34" i="1"/>
  <c r="G34" i="1"/>
  <c r="D1" i="4" s="1"/>
  <c r="J28" i="1"/>
  <c r="AL13" i="1"/>
  <c r="H34" i="1"/>
  <c r="AH12" i="1"/>
  <c r="AH11" i="1"/>
  <c r="AH10" i="1"/>
  <c r="J29" i="1" l="1"/>
  <c r="E6" i="4"/>
  <c r="BF1" i="13"/>
  <c r="BF20" i="13" s="1"/>
  <c r="BK1" i="13" l="1"/>
  <c r="BC1" i="13"/>
  <c r="AU1" i="13"/>
  <c r="AM1" i="13"/>
  <c r="AE1" i="13"/>
  <c r="W1" i="13"/>
  <c r="O1" i="13"/>
  <c r="G1" i="13"/>
  <c r="W16" i="11" l="1"/>
  <c r="V19" i="11" s="1"/>
  <c r="W19" i="11" s="1"/>
  <c r="Q16" i="11"/>
  <c r="P29" i="11" s="1"/>
  <c r="Q29" i="11" s="1"/>
  <c r="K16" i="11"/>
  <c r="J19" i="11" s="1"/>
  <c r="K19" i="11" s="1"/>
  <c r="E16" i="11"/>
  <c r="W1" i="11"/>
  <c r="Q1" i="11"/>
  <c r="K1" i="11"/>
  <c r="J1" i="13"/>
  <c r="J20" i="13" s="1"/>
  <c r="E1" i="11"/>
  <c r="D11" i="11" l="1"/>
  <c r="E11" i="11" s="1"/>
  <c r="D5" i="11"/>
  <c r="E5" i="11" s="1"/>
  <c r="P14" i="11"/>
  <c r="Q14" i="11" s="1"/>
  <c r="V14" i="11"/>
  <c r="W14" i="11" s="1"/>
  <c r="D29" i="11"/>
  <c r="E29" i="11" s="1"/>
  <c r="J11" i="11"/>
  <c r="K11" i="11" s="1"/>
  <c r="P28" i="11"/>
  <c r="Q28" i="11" s="1"/>
  <c r="P23" i="11"/>
  <c r="Q23" i="11" s="1"/>
  <c r="D20" i="11"/>
  <c r="E20" i="11" s="1"/>
  <c r="D24" i="11"/>
  <c r="E24" i="11" s="1"/>
  <c r="D26" i="11"/>
  <c r="E26" i="11" s="1"/>
  <c r="D21" i="11"/>
  <c r="E21" i="11" s="1"/>
  <c r="D19" i="11"/>
  <c r="E19" i="11" s="1"/>
  <c r="D22" i="11"/>
  <c r="E22" i="11" s="1"/>
  <c r="D28" i="11"/>
  <c r="E28" i="11" s="1"/>
  <c r="P4" i="11"/>
  <c r="P8" i="11"/>
  <c r="Q8" i="11" s="1"/>
  <c r="P21" i="11"/>
  <c r="Q21" i="11" s="1"/>
  <c r="P19" i="11"/>
  <c r="Q19" i="11" s="1"/>
  <c r="P24" i="11"/>
  <c r="Q24" i="11" s="1"/>
  <c r="P27" i="11"/>
  <c r="Q27" i="11" s="1"/>
  <c r="P26" i="11"/>
  <c r="Q26" i="11" s="1"/>
  <c r="P20" i="11"/>
  <c r="Q20" i="11" s="1"/>
  <c r="P22" i="11"/>
  <c r="Q22" i="11" s="1"/>
  <c r="P25" i="11"/>
  <c r="Q25" i="11" s="1"/>
  <c r="P10" i="11"/>
  <c r="Q10" i="11" s="1"/>
  <c r="P6" i="11"/>
  <c r="Q6" i="11" s="1"/>
  <c r="P7" i="11"/>
  <c r="Q7" i="11" s="1"/>
  <c r="P11" i="11"/>
  <c r="Q11" i="11" s="1"/>
  <c r="V21" i="11"/>
  <c r="W21" i="11" s="1"/>
  <c r="P12" i="11"/>
  <c r="Q12" i="11" s="1"/>
  <c r="P5" i="11"/>
  <c r="Q5" i="11" s="1"/>
  <c r="P9" i="11"/>
  <c r="Q9" i="11" s="1"/>
  <c r="P13" i="11"/>
  <c r="Q13" i="11" s="1"/>
  <c r="J24" i="11"/>
  <c r="K24" i="11" s="1"/>
  <c r="J27" i="11"/>
  <c r="K27" i="11" s="1"/>
  <c r="J20" i="11"/>
  <c r="K20" i="11" s="1"/>
  <c r="J22" i="11"/>
  <c r="K22" i="11" s="1"/>
  <c r="J25" i="11"/>
  <c r="K25" i="11" s="1"/>
  <c r="J4" i="11"/>
  <c r="K4" i="11" s="1"/>
  <c r="J23" i="11"/>
  <c r="K23" i="11" s="1"/>
  <c r="J28" i="11"/>
  <c r="K28" i="11" s="1"/>
  <c r="J21" i="11"/>
  <c r="K21" i="11" s="1"/>
  <c r="J5" i="13"/>
  <c r="D6" i="11"/>
  <c r="E6" i="11" s="1"/>
  <c r="J7" i="11"/>
  <c r="K7" i="11" s="1"/>
  <c r="D10" i="11"/>
  <c r="E10" i="11" s="1"/>
  <c r="D14" i="11"/>
  <c r="J6" i="11"/>
  <c r="K6" i="11" s="1"/>
  <c r="D9" i="11"/>
  <c r="E9" i="11" s="1"/>
  <c r="J10" i="11"/>
  <c r="K10" i="11" s="1"/>
  <c r="D13" i="11"/>
  <c r="E13" i="11" s="1"/>
  <c r="J14" i="11"/>
  <c r="K14" i="11" s="1"/>
  <c r="D4" i="11"/>
  <c r="E4" i="11" s="1"/>
  <c r="J5" i="11"/>
  <c r="K5" i="11" s="1"/>
  <c r="D8" i="11"/>
  <c r="E8" i="11" s="1"/>
  <c r="J9" i="11"/>
  <c r="K9" i="11" s="1"/>
  <c r="D12" i="11"/>
  <c r="J13" i="11"/>
  <c r="K13" i="11" s="1"/>
  <c r="D7" i="11"/>
  <c r="E7" i="11" s="1"/>
  <c r="J8" i="11"/>
  <c r="K8" i="11" s="1"/>
  <c r="J12" i="11"/>
  <c r="K12" i="11" s="1"/>
  <c r="V26" i="11"/>
  <c r="W26" i="11" s="1"/>
  <c r="V24" i="11"/>
  <c r="W24" i="11" s="1"/>
  <c r="V20" i="11"/>
  <c r="W20" i="11" s="1"/>
  <c r="V22" i="11"/>
  <c r="W22" i="11" s="1"/>
  <c r="V25" i="11"/>
  <c r="W25" i="11" s="1"/>
  <c r="V29" i="11"/>
  <c r="W29" i="11" s="1"/>
  <c r="V27" i="11"/>
  <c r="W27" i="11" s="1"/>
  <c r="V23" i="11"/>
  <c r="W23" i="11" s="1"/>
  <c r="V28" i="11"/>
  <c r="W28" i="11" s="1"/>
  <c r="J26" i="11"/>
  <c r="K26" i="11" s="1"/>
  <c r="J29" i="11"/>
  <c r="K29" i="11" s="1"/>
  <c r="D23" i="11"/>
  <c r="E23" i="11" s="1"/>
  <c r="D25" i="11"/>
  <c r="E25" i="11" s="1"/>
  <c r="D27" i="11"/>
  <c r="E27" i="11" s="1"/>
  <c r="V4" i="11"/>
  <c r="W4" i="11" s="1"/>
  <c r="V8" i="11"/>
  <c r="W8" i="11" s="1"/>
  <c r="V5" i="11"/>
  <c r="W5" i="11" s="1"/>
  <c r="V6" i="11"/>
  <c r="W6" i="11" s="1"/>
  <c r="V7" i="11"/>
  <c r="W7" i="11" s="1"/>
  <c r="V9" i="11"/>
  <c r="W9" i="11" s="1"/>
  <c r="V10" i="11"/>
  <c r="W10" i="11" s="1"/>
  <c r="V11" i="11"/>
  <c r="W11" i="11" s="1"/>
  <c r="V12" i="11"/>
  <c r="W12" i="11" s="1"/>
  <c r="V13" i="11"/>
  <c r="W13" i="11" s="1"/>
  <c r="Q17" i="11" l="1"/>
  <c r="H15" i="1" s="1"/>
  <c r="E14" i="11"/>
  <c r="E12" i="11"/>
  <c r="W17" i="11"/>
  <c r="H16" i="1" s="1"/>
  <c r="K17" i="11"/>
  <c r="H14" i="1" s="1"/>
  <c r="E17" i="11"/>
  <c r="H13" i="1" s="1"/>
  <c r="W2" i="11"/>
  <c r="H12" i="1" s="1"/>
  <c r="K2" i="11"/>
  <c r="H10" i="1" s="1"/>
  <c r="B1" i="13"/>
  <c r="B20" i="13" s="1"/>
  <c r="BK2" i="13" l="1"/>
  <c r="AE2" i="13"/>
  <c r="AM2" i="13"/>
  <c r="AU2" i="13"/>
  <c r="BC2" i="13"/>
  <c r="O2" i="13"/>
  <c r="L30" i="13" s="1"/>
  <c r="L5" i="13"/>
  <c r="N8" i="13" s="1"/>
  <c r="O8" i="13" s="1"/>
  <c r="B5" i="13"/>
  <c r="L15" i="13"/>
  <c r="N15" i="13" s="1"/>
  <c r="O15" i="13" s="1"/>
  <c r="L10" i="13"/>
  <c r="E2" i="11"/>
  <c r="H9" i="1" s="1"/>
  <c r="L25" i="13" l="1"/>
  <c r="N28" i="13" s="1"/>
  <c r="O28" i="13" s="1"/>
  <c r="L20" i="13"/>
  <c r="N23" i="13" s="1"/>
  <c r="O23" i="13" s="1"/>
  <c r="G2" i="13"/>
  <c r="D15" i="13" s="1"/>
  <c r="F17" i="13" s="1"/>
  <c r="G17" i="13" s="1"/>
  <c r="N9" i="13"/>
  <c r="O9" i="13" s="1"/>
  <c r="N7" i="13"/>
  <c r="O7" i="13" s="1"/>
  <c r="N6" i="13"/>
  <c r="O6" i="13" s="1"/>
  <c r="N5" i="13"/>
  <c r="O5" i="13" s="1"/>
  <c r="N34" i="13"/>
  <c r="O34" i="13" s="1"/>
  <c r="N31" i="13"/>
  <c r="O31" i="13" s="1"/>
  <c r="N30" i="13"/>
  <c r="O30" i="13" s="1"/>
  <c r="N33" i="13"/>
  <c r="O33" i="13" s="1"/>
  <c r="N32" i="13"/>
  <c r="O32" i="13" s="1"/>
  <c r="N16" i="13"/>
  <c r="O16" i="13" s="1"/>
  <c r="N14" i="13"/>
  <c r="O14" i="13" s="1"/>
  <c r="N11" i="13"/>
  <c r="O11" i="13" s="1"/>
  <c r="N12" i="13"/>
  <c r="O12" i="13" s="1"/>
  <c r="N10" i="13"/>
  <c r="O10" i="13" s="1"/>
  <c r="N13" i="13"/>
  <c r="O13" i="13" s="1"/>
  <c r="N18" i="13"/>
  <c r="O18" i="13" s="1"/>
  <c r="N17" i="13"/>
  <c r="O17" i="13" s="1"/>
  <c r="N19" i="13"/>
  <c r="O19" i="13" s="1"/>
  <c r="D10" i="13" l="1"/>
  <c r="F13" i="13" s="1"/>
  <c r="G13" i="13" s="1"/>
  <c r="N26" i="13"/>
  <c r="O26" i="13" s="1"/>
  <c r="N27" i="13"/>
  <c r="O27" i="13" s="1"/>
  <c r="N29" i="13"/>
  <c r="O29" i="13" s="1"/>
  <c r="N25" i="13"/>
  <c r="O25" i="13" s="1"/>
  <c r="N20" i="13"/>
  <c r="O20" i="13" s="1"/>
  <c r="N22" i="13"/>
  <c r="O22" i="13" s="1"/>
  <c r="N24" i="13"/>
  <c r="O24" i="13" s="1"/>
  <c r="N21" i="13"/>
  <c r="O21" i="13" s="1"/>
  <c r="D5" i="13"/>
  <c r="F9" i="13" s="1"/>
  <c r="G9" i="13" s="1"/>
  <c r="F15" i="13"/>
  <c r="G15" i="13" s="1"/>
  <c r="F19" i="13"/>
  <c r="G19" i="13" s="1"/>
  <c r="F18" i="13"/>
  <c r="G18" i="13" s="1"/>
  <c r="F16" i="13"/>
  <c r="G16" i="13" s="1"/>
  <c r="F11" i="13" l="1"/>
  <c r="G11" i="13" s="1"/>
  <c r="F10" i="13"/>
  <c r="G10" i="13" s="1"/>
  <c r="F14" i="13"/>
  <c r="G14" i="13" s="1"/>
  <c r="F12" i="13"/>
  <c r="G12" i="13" s="1"/>
  <c r="O3" i="13"/>
  <c r="J10" i="1" s="1"/>
  <c r="N10" i="1" s="1"/>
  <c r="F7" i="13"/>
  <c r="G7" i="13" s="1"/>
  <c r="F5" i="13"/>
  <c r="G5" i="13" s="1"/>
  <c r="F8" i="13"/>
  <c r="G8" i="13" s="1"/>
  <c r="F6" i="13"/>
  <c r="G6" i="13" s="1"/>
  <c r="L10" i="1" l="1"/>
  <c r="AF9" i="1"/>
  <c r="AF11" i="1"/>
  <c r="AF12" i="1"/>
  <c r="AF10" i="1"/>
  <c r="AP1" i="13"/>
  <c r="AP20" i="13" s="1"/>
  <c r="Z1" i="13"/>
  <c r="Z20" i="13" s="1"/>
  <c r="AH1" i="13"/>
  <c r="AH20" i="13" s="1"/>
  <c r="R1" i="13"/>
  <c r="AX1" i="13"/>
  <c r="AX20" i="13" s="1"/>
  <c r="M10" i="1" l="1"/>
  <c r="AK10" i="1" s="1"/>
  <c r="R5" i="13"/>
  <c r="R20" i="13"/>
  <c r="BF5" i="13"/>
  <c r="AP5" i="13"/>
  <c r="AX5" i="13"/>
  <c r="AH5" i="13"/>
  <c r="Z5" i="13"/>
  <c r="AC14" i="1" l="1"/>
  <c r="AJ14" i="1" s="1"/>
  <c r="AC12" i="1"/>
  <c r="AJ12" i="1" s="1"/>
  <c r="AC15" i="1"/>
  <c r="AJ15" i="1" s="1"/>
  <c r="AC11" i="1"/>
  <c r="AJ11" i="1" s="1"/>
  <c r="AJ25" i="13"/>
  <c r="AJ30" i="13"/>
  <c r="AJ20" i="13"/>
  <c r="AR20" i="13"/>
  <c r="AR25" i="13"/>
  <c r="AR30" i="13"/>
  <c r="AB10" i="13"/>
  <c r="AB5" i="13"/>
  <c r="AB15" i="13"/>
  <c r="AZ5" i="13"/>
  <c r="AZ15" i="13"/>
  <c r="AZ10" i="13"/>
  <c r="BH5" i="13"/>
  <c r="BH10" i="13"/>
  <c r="BH15" i="13"/>
  <c r="AB20" i="13"/>
  <c r="AB25" i="13"/>
  <c r="AB30" i="13"/>
  <c r="AZ30" i="13"/>
  <c r="AZ20" i="13"/>
  <c r="AZ25" i="13"/>
  <c r="BH20" i="13"/>
  <c r="BH25" i="13"/>
  <c r="BH30" i="13"/>
  <c r="AJ5" i="13"/>
  <c r="AJ10" i="13"/>
  <c r="AJ15" i="13"/>
  <c r="AR15" i="13"/>
  <c r="AR5" i="13"/>
  <c r="AR10" i="13"/>
  <c r="AC9" i="1"/>
  <c r="AJ9" i="1" l="1"/>
  <c r="AH15" i="1"/>
  <c r="AF15" i="1"/>
  <c r="AH14" i="1"/>
  <c r="AF14" i="1"/>
  <c r="AC13" i="1"/>
  <c r="AJ13" i="1" s="1"/>
  <c r="AC16" i="1"/>
  <c r="AJ16" i="1" s="1"/>
  <c r="BJ26" i="13"/>
  <c r="BK26" i="13" s="1"/>
  <c r="BJ25" i="13"/>
  <c r="BK25" i="13" s="1"/>
  <c r="BJ21" i="13"/>
  <c r="BK21" i="13" s="1"/>
  <c r="BJ20" i="13"/>
  <c r="BK20" i="13" s="1"/>
  <c r="BJ31" i="13"/>
  <c r="BK31" i="13" s="1"/>
  <c r="BJ30" i="13"/>
  <c r="BK30" i="13" s="1"/>
  <c r="BB30" i="13"/>
  <c r="BC30" i="13" s="1"/>
  <c r="BB31" i="13"/>
  <c r="BC31" i="13" s="1"/>
  <c r="BB26" i="13"/>
  <c r="BC26" i="13" s="1"/>
  <c r="BB25" i="13"/>
  <c r="BC25" i="13" s="1"/>
  <c r="BB20" i="13"/>
  <c r="BC20" i="13" s="1"/>
  <c r="BB21" i="13"/>
  <c r="BC21" i="13" s="1"/>
  <c r="AT31" i="13"/>
  <c r="AU31" i="13" s="1"/>
  <c r="AT30" i="13"/>
  <c r="AU30" i="13" s="1"/>
  <c r="AT26" i="13"/>
  <c r="AU26" i="13" s="1"/>
  <c r="AT25" i="13"/>
  <c r="AU25" i="13" s="1"/>
  <c r="AT20" i="13"/>
  <c r="AU20" i="13" s="1"/>
  <c r="AT21" i="13"/>
  <c r="AU21" i="13" s="1"/>
  <c r="AL21" i="13"/>
  <c r="AM21" i="13" s="1"/>
  <c r="AL20" i="13"/>
  <c r="AM20" i="13" s="1"/>
  <c r="AL31" i="13"/>
  <c r="AM31" i="13" s="1"/>
  <c r="AL30" i="13"/>
  <c r="AM30" i="13" s="1"/>
  <c r="AL25" i="13"/>
  <c r="AM25" i="13" s="1"/>
  <c r="AL26" i="13"/>
  <c r="AM26" i="13" s="1"/>
  <c r="AD31" i="13"/>
  <c r="AE31" i="13" s="1"/>
  <c r="AD30" i="13"/>
  <c r="AE30" i="13" s="1"/>
  <c r="AD26" i="13"/>
  <c r="AE26" i="13" s="1"/>
  <c r="AD25" i="13"/>
  <c r="AE25" i="13" s="1"/>
  <c r="AD20" i="13"/>
  <c r="AE20" i="13" s="1"/>
  <c r="AD21" i="13"/>
  <c r="AE21" i="13" s="1"/>
  <c r="AT12" i="13"/>
  <c r="AU12" i="13" s="1"/>
  <c r="AT10" i="13"/>
  <c r="AU10" i="13" s="1"/>
  <c r="AT13" i="13"/>
  <c r="AU13" i="13" s="1"/>
  <c r="AT14" i="13"/>
  <c r="AU14" i="13" s="1"/>
  <c r="AT11" i="13"/>
  <c r="AU11" i="13" s="1"/>
  <c r="AL12" i="13"/>
  <c r="AM12" i="13" s="1"/>
  <c r="AL10" i="13"/>
  <c r="AM10" i="13" s="1"/>
  <c r="AL13" i="13"/>
  <c r="AM13" i="13" s="1"/>
  <c r="AL14" i="13"/>
  <c r="AM14" i="13" s="1"/>
  <c r="AL11" i="13"/>
  <c r="AM11" i="13" s="1"/>
  <c r="BJ27" i="13"/>
  <c r="BK27" i="13" s="1"/>
  <c r="BJ29" i="13"/>
  <c r="BK29" i="13" s="1"/>
  <c r="BJ28" i="13"/>
  <c r="BK28" i="13" s="1"/>
  <c r="BB34" i="13"/>
  <c r="BC34" i="13" s="1"/>
  <c r="BB32" i="13"/>
  <c r="BC32" i="13" s="1"/>
  <c r="BB33" i="13"/>
  <c r="BC33" i="13" s="1"/>
  <c r="BJ18" i="13"/>
  <c r="BK18" i="13" s="1"/>
  <c r="BJ15" i="13"/>
  <c r="BK15" i="13" s="1"/>
  <c r="BJ16" i="13"/>
  <c r="BK16" i="13" s="1"/>
  <c r="BJ19" i="13"/>
  <c r="BK19" i="13" s="1"/>
  <c r="BJ17" i="13"/>
  <c r="BK17" i="13" s="1"/>
  <c r="BB17" i="13"/>
  <c r="BC17" i="13" s="1"/>
  <c r="BB18" i="13"/>
  <c r="BC18" i="13" s="1"/>
  <c r="BB15" i="13"/>
  <c r="BC15" i="13" s="1"/>
  <c r="BB16" i="13"/>
  <c r="BC16" i="13" s="1"/>
  <c r="BB19" i="13"/>
  <c r="BC19" i="13" s="1"/>
  <c r="AD13" i="13"/>
  <c r="AE13" i="13" s="1"/>
  <c r="AD10" i="13"/>
  <c r="AE10" i="13" s="1"/>
  <c r="AD11" i="13"/>
  <c r="AE11" i="13" s="1"/>
  <c r="AD14" i="13"/>
  <c r="AE14" i="13" s="1"/>
  <c r="AD12" i="13"/>
  <c r="AE12" i="13" s="1"/>
  <c r="AT33" i="13"/>
  <c r="AU33" i="13" s="1"/>
  <c r="AT34" i="13"/>
  <c r="AU34" i="13" s="1"/>
  <c r="AT32" i="13"/>
  <c r="AU32" i="13" s="1"/>
  <c r="AL34" i="13"/>
  <c r="AM34" i="13" s="1"/>
  <c r="AL32" i="13"/>
  <c r="AM32" i="13" s="1"/>
  <c r="AL33" i="13"/>
  <c r="AM33" i="13" s="1"/>
  <c r="AL19" i="13"/>
  <c r="AM19" i="13" s="1"/>
  <c r="AL17" i="13"/>
  <c r="AM17" i="13" s="1"/>
  <c r="AL18" i="13"/>
  <c r="AM18" i="13" s="1"/>
  <c r="AL15" i="13"/>
  <c r="AM15" i="13" s="1"/>
  <c r="AL16" i="13"/>
  <c r="AM16" i="13" s="1"/>
  <c r="BB23" i="13"/>
  <c r="BC23" i="13" s="1"/>
  <c r="BB22" i="13"/>
  <c r="BC22" i="13" s="1"/>
  <c r="BB24" i="13"/>
  <c r="BC24" i="13" s="1"/>
  <c r="AD8" i="13"/>
  <c r="AE8" i="13" s="1"/>
  <c r="AD5" i="13"/>
  <c r="AE5" i="13" s="1"/>
  <c r="AD9" i="13"/>
  <c r="AE9" i="13" s="1"/>
  <c r="AD6" i="13"/>
  <c r="AE6" i="13" s="1"/>
  <c r="AD7" i="13"/>
  <c r="AE7" i="13" s="1"/>
  <c r="AT9" i="13"/>
  <c r="AU9" i="13" s="1"/>
  <c r="AT6" i="13"/>
  <c r="AU6" i="13" s="1"/>
  <c r="AT7" i="13"/>
  <c r="AU7" i="13" s="1"/>
  <c r="AT5" i="13"/>
  <c r="AU5" i="13" s="1"/>
  <c r="AT8" i="13"/>
  <c r="AU8" i="13" s="1"/>
  <c r="AL8" i="13"/>
  <c r="AM8" i="13" s="1"/>
  <c r="AL9" i="13"/>
  <c r="AM9" i="13" s="1"/>
  <c r="AL6" i="13"/>
  <c r="AM6" i="13" s="1"/>
  <c r="AL7" i="13"/>
  <c r="AM7" i="13" s="1"/>
  <c r="AL5" i="13"/>
  <c r="AM5" i="13" s="1"/>
  <c r="BJ23" i="13"/>
  <c r="BK23" i="13" s="1"/>
  <c r="BJ22" i="13"/>
  <c r="BK22" i="13" s="1"/>
  <c r="BJ24" i="13"/>
  <c r="BK24" i="13" s="1"/>
  <c r="AD33" i="13"/>
  <c r="AE33" i="13" s="1"/>
  <c r="AD34" i="13"/>
  <c r="AE34" i="13" s="1"/>
  <c r="AD32" i="13"/>
  <c r="AE32" i="13" s="1"/>
  <c r="BJ12" i="13"/>
  <c r="BK12" i="13" s="1"/>
  <c r="BJ13" i="13"/>
  <c r="BK13" i="13" s="1"/>
  <c r="BJ10" i="13"/>
  <c r="BK10" i="13" s="1"/>
  <c r="BJ11" i="13"/>
  <c r="BK11" i="13" s="1"/>
  <c r="BJ14" i="13"/>
  <c r="BK14" i="13" s="1"/>
  <c r="BB8" i="13"/>
  <c r="BC8" i="13" s="1"/>
  <c r="BB9" i="13"/>
  <c r="BC9" i="13" s="1"/>
  <c r="BB6" i="13"/>
  <c r="BC6" i="13" s="1"/>
  <c r="BB7" i="13"/>
  <c r="BC7" i="13" s="1"/>
  <c r="BB5" i="13"/>
  <c r="BC5" i="13" s="1"/>
  <c r="AT29" i="13"/>
  <c r="AU29" i="13" s="1"/>
  <c r="AT27" i="13"/>
  <c r="AU27" i="13" s="1"/>
  <c r="AT28" i="13"/>
  <c r="AU28" i="13" s="1"/>
  <c r="AL27" i="13"/>
  <c r="AM27" i="13" s="1"/>
  <c r="AL28" i="13"/>
  <c r="AM28" i="13" s="1"/>
  <c r="AL29" i="13"/>
  <c r="AM29" i="13" s="1"/>
  <c r="BJ33" i="13"/>
  <c r="BK33" i="13" s="1"/>
  <c r="BJ34" i="13"/>
  <c r="BK34" i="13" s="1"/>
  <c r="BJ32" i="13"/>
  <c r="BK32" i="13" s="1"/>
  <c r="AD24" i="13"/>
  <c r="AE24" i="13" s="1"/>
  <c r="AD22" i="13"/>
  <c r="AE22" i="13" s="1"/>
  <c r="AD23" i="13"/>
  <c r="AE23" i="13" s="1"/>
  <c r="BB14" i="13"/>
  <c r="BC14" i="13" s="1"/>
  <c r="BB11" i="13"/>
  <c r="BC11" i="13" s="1"/>
  <c r="BB12" i="13"/>
  <c r="BC12" i="13" s="1"/>
  <c r="BB13" i="13"/>
  <c r="BC13" i="13" s="1"/>
  <c r="BB10" i="13"/>
  <c r="BC10" i="13" s="1"/>
  <c r="AL24" i="13"/>
  <c r="AM24" i="13" s="1"/>
  <c r="AL23" i="13"/>
  <c r="AM23" i="13" s="1"/>
  <c r="AL22" i="13"/>
  <c r="AM22" i="13" s="1"/>
  <c r="AT19" i="13"/>
  <c r="AU19" i="13" s="1"/>
  <c r="AT17" i="13"/>
  <c r="AU17" i="13" s="1"/>
  <c r="AT18" i="13"/>
  <c r="AU18" i="13" s="1"/>
  <c r="AT15" i="13"/>
  <c r="AU15" i="13" s="1"/>
  <c r="AT16" i="13"/>
  <c r="AU16" i="13" s="1"/>
  <c r="BB28" i="13"/>
  <c r="BC28" i="13" s="1"/>
  <c r="BB27" i="13"/>
  <c r="BC27" i="13" s="1"/>
  <c r="BB29" i="13"/>
  <c r="BC29" i="13" s="1"/>
  <c r="AD28" i="13"/>
  <c r="AE28" i="13" s="1"/>
  <c r="AD27" i="13"/>
  <c r="AE27" i="13" s="1"/>
  <c r="AD29" i="13"/>
  <c r="AE29" i="13" s="1"/>
  <c r="BJ7" i="13"/>
  <c r="BK7" i="13" s="1"/>
  <c r="BJ5" i="13"/>
  <c r="BK5" i="13" s="1"/>
  <c r="BJ8" i="13"/>
  <c r="BK8" i="13" s="1"/>
  <c r="BJ9" i="13"/>
  <c r="BK9" i="13" s="1"/>
  <c r="BJ6" i="13"/>
  <c r="BK6" i="13" s="1"/>
  <c r="AD19" i="13"/>
  <c r="AE19" i="13" s="1"/>
  <c r="AD17" i="13"/>
  <c r="AE17" i="13" s="1"/>
  <c r="AD18" i="13"/>
  <c r="AE18" i="13" s="1"/>
  <c r="AD15" i="13"/>
  <c r="AE15" i="13" s="1"/>
  <c r="AD16" i="13"/>
  <c r="AE16" i="13" s="1"/>
  <c r="AT22" i="13"/>
  <c r="AU22" i="13" s="1"/>
  <c r="AT23" i="13"/>
  <c r="AU23" i="13" s="1"/>
  <c r="AT24" i="13"/>
  <c r="AU24" i="13" s="1"/>
  <c r="AC10" i="1"/>
  <c r="I28" i="1" l="1"/>
  <c r="I30" i="1"/>
  <c r="G28" i="1"/>
  <c r="H28" i="1"/>
  <c r="AH16" i="1"/>
  <c r="AF16" i="1"/>
  <c r="AH13" i="1"/>
  <c r="AF13" i="1"/>
  <c r="AJ10" i="1"/>
  <c r="AM3" i="13"/>
  <c r="J13" i="1" s="1"/>
  <c r="BK3" i="13"/>
  <c r="J16" i="1" s="1"/>
  <c r="AU3" i="13"/>
  <c r="J14" i="1" s="1"/>
  <c r="AE3" i="13"/>
  <c r="J12" i="1" s="1"/>
  <c r="BC3" i="13"/>
  <c r="J15" i="1" s="1"/>
  <c r="H29" i="1" l="1"/>
  <c r="I29" i="1"/>
  <c r="I34" i="1"/>
  <c r="N16" i="1"/>
  <c r="L16" i="1" s="1"/>
  <c r="M16" i="1" s="1"/>
  <c r="AK16" i="1" s="1"/>
  <c r="N14" i="1"/>
  <c r="L14" i="1" s="1"/>
  <c r="M14" i="1" s="1"/>
  <c r="AK14" i="1" s="1"/>
  <c r="N12" i="1"/>
  <c r="L12" i="1" s="1"/>
  <c r="M12" i="1" s="1"/>
  <c r="AK12" i="1" s="1"/>
  <c r="N13" i="1"/>
  <c r="L13" i="1" s="1"/>
  <c r="M13" i="1" s="1"/>
  <c r="N15" i="1"/>
  <c r="L15" i="1" s="1"/>
  <c r="M15" i="1" s="1"/>
  <c r="AK15" i="1" s="1"/>
  <c r="G29" i="1"/>
  <c r="C5" i="4"/>
  <c r="AK13" i="1" l="1"/>
  <c r="AG14" i="1"/>
  <c r="AI14" i="1"/>
  <c r="AE14" i="1"/>
  <c r="AE15" i="1"/>
  <c r="AG15" i="1"/>
  <c r="AI15" i="1"/>
  <c r="AG13" i="1"/>
  <c r="AI13" i="1"/>
  <c r="AE13" i="1"/>
  <c r="AI12" i="1"/>
  <c r="AE12" i="1"/>
  <c r="AG12" i="1"/>
  <c r="AI16" i="1"/>
  <c r="AE16" i="1"/>
  <c r="AG16" i="1"/>
  <c r="C6" i="4"/>
  <c r="C7" i="4"/>
  <c r="Q4" i="11"/>
  <c r="AE10" i="1" l="1"/>
  <c r="AG10" i="1"/>
  <c r="AI10" i="1"/>
  <c r="Q2" i="11"/>
  <c r="H11" i="1" s="1"/>
  <c r="W2" i="13" l="1"/>
  <c r="T15" i="13" l="1"/>
  <c r="T10" i="13"/>
  <c r="T5" i="13"/>
  <c r="T25" i="13"/>
  <c r="T20" i="13"/>
  <c r="T30" i="13"/>
  <c r="V8" i="13" l="1"/>
  <c r="W8" i="13" s="1"/>
  <c r="V5" i="13"/>
  <c r="W5" i="13" s="1"/>
  <c r="V9" i="13"/>
  <c r="W9" i="13" s="1"/>
  <c r="V6" i="13"/>
  <c r="W6" i="13" s="1"/>
  <c r="V7" i="13"/>
  <c r="W7" i="13" s="1"/>
  <c r="V11" i="13"/>
  <c r="W11" i="13" s="1"/>
  <c r="V13" i="13"/>
  <c r="W13" i="13" s="1"/>
  <c r="V12" i="13"/>
  <c r="W12" i="13" s="1"/>
  <c r="V14" i="13"/>
  <c r="W14" i="13" s="1"/>
  <c r="V10" i="13"/>
  <c r="W10" i="13" s="1"/>
  <c r="V15" i="13"/>
  <c r="W15" i="13" s="1"/>
  <c r="V19" i="13"/>
  <c r="W19" i="13" s="1"/>
  <c r="V17" i="13"/>
  <c r="W17" i="13" s="1"/>
  <c r="V16" i="13"/>
  <c r="W16" i="13" s="1"/>
  <c r="V18" i="13"/>
  <c r="W18" i="13" s="1"/>
  <c r="V31" i="13"/>
  <c r="W31" i="13" s="1"/>
  <c r="V30" i="13"/>
  <c r="W30" i="13" s="1"/>
  <c r="V21" i="13"/>
  <c r="W21" i="13" s="1"/>
  <c r="V20" i="13"/>
  <c r="W20" i="13" s="1"/>
  <c r="V25" i="13"/>
  <c r="W25" i="13" s="1"/>
  <c r="V26" i="13"/>
  <c r="W26" i="13" s="1"/>
  <c r="V27" i="13"/>
  <c r="W27" i="13" s="1"/>
  <c r="V29" i="13"/>
  <c r="W29" i="13" s="1"/>
  <c r="V28" i="13"/>
  <c r="W28" i="13" s="1"/>
  <c r="V24" i="13"/>
  <c r="W24" i="13" s="1"/>
  <c r="V22" i="13"/>
  <c r="W22" i="13" s="1"/>
  <c r="V23" i="13"/>
  <c r="W23" i="13" s="1"/>
  <c r="V34" i="13"/>
  <c r="W34" i="13" s="1"/>
  <c r="V32" i="13"/>
  <c r="W32" i="13" s="1"/>
  <c r="V33" i="13"/>
  <c r="W33" i="13" s="1"/>
  <c r="W3" i="13" l="1"/>
  <c r="J11" i="1" s="1"/>
  <c r="D30" i="13"/>
  <c r="F33" i="13" s="1"/>
  <c r="G33" i="13" s="1"/>
  <c r="D25" i="13"/>
  <c r="F25" i="13" s="1"/>
  <c r="G25" i="13" s="1"/>
  <c r="D20" i="13"/>
  <c r="F22" i="13" s="1"/>
  <c r="G22" i="13" s="1"/>
  <c r="N11" i="1" l="1"/>
  <c r="F20" i="13"/>
  <c r="G20" i="13" s="1"/>
  <c r="F29" i="13"/>
  <c r="G29" i="13" s="1"/>
  <c r="F26" i="13"/>
  <c r="G26" i="13" s="1"/>
  <c r="F27" i="13"/>
  <c r="G27" i="13" s="1"/>
  <c r="F30" i="13"/>
  <c r="G30" i="13" s="1"/>
  <c r="F34" i="13"/>
  <c r="G34" i="13" s="1"/>
  <c r="F28" i="13"/>
  <c r="G28" i="13" s="1"/>
  <c r="F32" i="13"/>
  <c r="G32" i="13" s="1"/>
  <c r="F23" i="13"/>
  <c r="G23" i="13" s="1"/>
  <c r="F21" i="13"/>
  <c r="G21" i="13" s="1"/>
  <c r="F24" i="13"/>
  <c r="G24" i="13" s="1"/>
  <c r="F31" i="13"/>
  <c r="G31" i="13" s="1"/>
  <c r="L11" i="1" l="1"/>
  <c r="M11" i="1" s="1"/>
  <c r="AK11" i="1" s="1"/>
  <c r="G3" i="13"/>
  <c r="J9" i="1" s="1"/>
  <c r="N9" i="1" s="1"/>
  <c r="AI11" i="1" l="1"/>
  <c r="AE11" i="1"/>
  <c r="AG11" i="1"/>
  <c r="L9" i="1"/>
  <c r="J32" i="1" l="1"/>
  <c r="J36" i="1" s="1"/>
  <c r="H32" i="1"/>
  <c r="H36" i="1" s="1"/>
  <c r="I32" i="1"/>
  <c r="I36" i="1" s="1"/>
  <c r="G32" i="1"/>
  <c r="M9" i="1"/>
  <c r="I24" i="1" s="1"/>
  <c r="J38" i="1" l="1"/>
  <c r="J37" i="1"/>
  <c r="H38" i="1"/>
  <c r="H37" i="1"/>
  <c r="AK9" i="1"/>
  <c r="J26" i="1" s="1"/>
  <c r="J31" i="1" s="1"/>
  <c r="AE9" i="1"/>
  <c r="G26" i="1" s="1"/>
  <c r="G31" i="1" s="1"/>
  <c r="J24" i="1"/>
  <c r="H24" i="1"/>
  <c r="G36" i="1"/>
  <c r="G37" i="1" s="1"/>
  <c r="I37" i="1"/>
  <c r="AI9" i="1"/>
  <c r="I26" i="1" s="1"/>
  <c r="AG9" i="1"/>
  <c r="H26" i="1" s="1"/>
  <c r="H31" i="1" s="1"/>
  <c r="G24" i="1"/>
  <c r="G39" i="1" l="1"/>
  <c r="J39" i="1"/>
  <c r="J41" i="1" s="1"/>
  <c r="J42" i="1" s="1"/>
  <c r="H39" i="1"/>
  <c r="I31" i="1"/>
  <c r="G38" i="1"/>
  <c r="I38" i="1"/>
  <c r="I39" i="1" l="1"/>
  <c r="I41" i="1" s="1"/>
  <c r="I42" i="1" s="1"/>
  <c r="H41" i="1"/>
  <c r="H42" i="1" s="1"/>
  <c r="D29" i="8" l="1"/>
  <c r="D27" i="8"/>
  <c r="D24" i="8"/>
  <c r="D26" i="8"/>
  <c r="D25" i="8"/>
  <c r="D28" i="8"/>
  <c r="E26" i="8"/>
  <c r="E25" i="8"/>
  <c r="E27" i="8"/>
  <c r="E29" i="8"/>
  <c r="E28" i="8"/>
  <c r="E24" i="8"/>
  <c r="F29" i="8"/>
  <c r="F24" i="8"/>
  <c r="F27" i="8"/>
  <c r="F25" i="8"/>
  <c r="F28" i="8"/>
  <c r="F26" i="8"/>
  <c r="G27" i="8"/>
  <c r="G29" i="8"/>
  <c r="G25" i="8"/>
  <c r="G26" i="8"/>
  <c r="G28" i="8"/>
  <c r="C29" i="8"/>
  <c r="C26" i="8"/>
  <c r="C25" i="8"/>
  <c r="C24" i="8"/>
  <c r="C27" i="8"/>
  <c r="C28" i="8"/>
  <c r="H27" i="8"/>
  <c r="H26" i="8"/>
  <c r="H28" i="8"/>
  <c r="H29" i="8"/>
  <c r="G41" i="1" l="1"/>
  <c r="G42" i="1" l="1"/>
  <c r="E20" i="1" s="1"/>
  <c r="E2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田嶋　潤也</author>
  </authors>
  <commentList>
    <comment ref="N8" authorId="0" shapeId="0" xr:uid="{00000000-0006-0000-0100-000001000000}">
      <text>
        <r>
          <rPr>
            <sz val="12"/>
            <color indexed="81"/>
            <rFont val="ＭＳ Ｐゴシック"/>
            <family val="3"/>
            <charset val="128"/>
            <scheme val="minor"/>
          </rPr>
          <t>所得金額調整控除の対象となるかチェックしています。
（条件）
給与所得控除後の給与等の金額及び公的年金等に係る雑所得があり、給与所得控除後の金額と公的年金等に係る雑所得の合計が10万円を超える場合
※ここでは給与所得がある　かつ　公的年金等に係る雑所得がある　場合は１とする</t>
        </r>
        <r>
          <rPr>
            <b/>
            <sz val="12"/>
            <color indexed="81"/>
            <rFont val="ＭＳ Ｐゴシック"/>
            <family val="3"/>
            <charset val="128"/>
            <scheme val="minor"/>
          </rPr>
          <t xml:space="preserve">
</t>
        </r>
      </text>
    </comment>
    <comment ref="O8" authorId="0" shapeId="0" xr:uid="{00000000-0006-0000-0100-000002000000}">
      <text>
        <r>
          <rPr>
            <sz val="12"/>
            <color indexed="81"/>
            <rFont val="ＭＳ Ｐゴシック"/>
            <family val="3"/>
            <charset val="128"/>
            <scheme val="minor"/>
          </rPr>
          <t>軽減判定における給与所得者に該当するかチェックしています。
（条件）
一定の給与所得者（給与収入55万円超） または　公的年金等に係る所得を有する者（65歳未満：公的年金等収入60万円超、65歳以上110万円超）。</t>
        </r>
      </text>
    </comment>
    <comment ref="AE8" authorId="0" shapeId="0" xr:uid="{00000000-0006-0000-0100-000003000000}">
      <text>
        <r>
          <rPr>
            <sz val="12"/>
            <color indexed="81"/>
            <rFont val="ＭＳ Ｐゴシック"/>
            <family val="3"/>
            <charset val="128"/>
            <scheme val="minor"/>
          </rPr>
          <t>年度途中で75歳到達し国保脱退となる人、40歳到達し介護分が賦課される人の調整のため、　加入月÷12か月　で税額の簡易的な調整を行っています。　※後期以降による軽減（旧国保）は再現していないため、実際の税額とズレます。</t>
        </r>
      </text>
    </comment>
    <comment ref="P9" authorId="0" shapeId="0" xr:uid="{00000000-0006-0000-0100-000004000000}">
      <text>
        <r>
          <rPr>
            <sz val="12"/>
            <color indexed="81"/>
            <rFont val="ＭＳ Ｐゴシック"/>
            <family val="3"/>
            <charset val="128"/>
            <scheme val="minor"/>
          </rPr>
          <t xml:space="preserve">介護分の加入月を計算するため、月末時点での年齢を算出しています。
誕生日の前日で歳をとるため、関数は「誕生日-1」を基準とします。
例.今年40歳になる5/1生まれの人は、4/30時点で40歳となる為、4月分から介護分が賦課される。
</t>
        </r>
      </text>
    </comment>
  </commentList>
</comments>
</file>

<file path=xl/sharedStrings.xml><?xml version="1.0" encoding="utf-8"?>
<sst xmlns="http://schemas.openxmlformats.org/spreadsheetml/2006/main" count="653" uniqueCount="136">
  <si>
    <t>年度</t>
    <rPh sb="0" eb="2">
      <t>ネンド</t>
    </rPh>
    <phoneticPr fontId="1"/>
  </si>
  <si>
    <t>加入
期間</t>
    <rPh sb="0" eb="2">
      <t>カニュウ</t>
    </rPh>
    <rPh sb="3" eb="5">
      <t>キカン</t>
    </rPh>
    <phoneticPr fontId="1"/>
  </si>
  <si>
    <t>加入者情報の入力</t>
    <rPh sb="0" eb="2">
      <t>カニュウ</t>
    </rPh>
    <rPh sb="2" eb="3">
      <t>シャ</t>
    </rPh>
    <rPh sb="3" eb="5">
      <t>ジョウホウ</t>
    </rPh>
    <rPh sb="6" eb="8">
      <t>ニュウリョク</t>
    </rPh>
    <phoneticPr fontId="1"/>
  </si>
  <si>
    <t>世帯主の国民健康保険への加入の有無</t>
    <rPh sb="0" eb="3">
      <t>セタイヌシ</t>
    </rPh>
    <rPh sb="4" eb="10">
      <t>コクミンケンコウホケン</t>
    </rPh>
    <rPh sb="12" eb="14">
      <t>カニュウ</t>
    </rPh>
    <rPh sb="15" eb="17">
      <t>ウム</t>
    </rPh>
    <phoneticPr fontId="1"/>
  </si>
  <si>
    <t>加入する</t>
  </si>
  <si>
    <t>区分</t>
    <rPh sb="0" eb="2">
      <t>クブン</t>
    </rPh>
    <phoneticPr fontId="1"/>
  </si>
  <si>
    <t>生年月日</t>
    <rPh sb="0" eb="2">
      <t>セイネン</t>
    </rPh>
    <rPh sb="2" eb="4">
      <t>ガッピ</t>
    </rPh>
    <phoneticPr fontId="1"/>
  </si>
  <si>
    <t>1/1時点
年齢</t>
    <rPh sb="3" eb="5">
      <t>ジテン</t>
    </rPh>
    <rPh sb="6" eb="8">
      <t>ネンレイ</t>
    </rPh>
    <phoneticPr fontId="1"/>
  </si>
  <si>
    <t>未就学児
軽減</t>
    <rPh sb="5" eb="7">
      <t>ケイゲン</t>
    </rPh>
    <phoneticPr fontId="1"/>
  </si>
  <si>
    <t>子ども
子育て</t>
    <rPh sb="0" eb="1">
      <t>コ</t>
    </rPh>
    <rPh sb="4" eb="6">
      <t>コソダ</t>
    </rPh>
    <phoneticPr fontId="1"/>
  </si>
  <si>
    <t>給与収入</t>
    <rPh sb="0" eb="2">
      <t>キュウヨ</t>
    </rPh>
    <rPh sb="2" eb="4">
      <t>シュウニュウ</t>
    </rPh>
    <phoneticPr fontId="1"/>
  </si>
  <si>
    <t>給与所得</t>
    <rPh sb="0" eb="2">
      <t>キュウヨ</t>
    </rPh>
    <rPh sb="2" eb="4">
      <t>ショトク</t>
    </rPh>
    <phoneticPr fontId="1"/>
  </si>
  <si>
    <t>公的年金収入</t>
    <rPh sb="0" eb="2">
      <t>コウテキ</t>
    </rPh>
    <rPh sb="2" eb="4">
      <t>ネンキン</t>
    </rPh>
    <rPh sb="4" eb="6">
      <t>シュウニュウ</t>
    </rPh>
    <phoneticPr fontId="1"/>
  </si>
  <si>
    <t>雑（年金）所得</t>
    <rPh sb="0" eb="1">
      <t>ザツ</t>
    </rPh>
    <rPh sb="2" eb="4">
      <t>ネンキン</t>
    </rPh>
    <rPh sb="5" eb="7">
      <t>ショトク</t>
    </rPh>
    <phoneticPr fontId="1"/>
  </si>
  <si>
    <t>その他所得</t>
    <rPh sb="2" eb="3">
      <t>タ</t>
    </rPh>
    <rPh sb="3" eb="5">
      <t>ショトク</t>
    </rPh>
    <phoneticPr fontId="1"/>
  </si>
  <si>
    <t>総所得金額</t>
    <rPh sb="0" eb="3">
      <t>ソウショトク</t>
    </rPh>
    <rPh sb="3" eb="5">
      <t>キンガク</t>
    </rPh>
    <phoneticPr fontId="1"/>
  </si>
  <si>
    <t>所得割標準額</t>
    <rPh sb="0" eb="2">
      <t>ショトク</t>
    </rPh>
    <rPh sb="2" eb="3">
      <t>ワリ</t>
    </rPh>
    <rPh sb="3" eb="5">
      <t>ヒョウジュン</t>
    </rPh>
    <rPh sb="5" eb="6">
      <t>ガク</t>
    </rPh>
    <phoneticPr fontId="1"/>
  </si>
  <si>
    <t>所得金額調整控除チェック</t>
    <rPh sb="0" eb="2">
      <t>ショトク</t>
    </rPh>
    <rPh sb="2" eb="4">
      <t>キンガク</t>
    </rPh>
    <rPh sb="4" eb="6">
      <t>チョウセイ</t>
    </rPh>
    <rPh sb="6" eb="8">
      <t>コウジョ</t>
    </rPh>
    <phoneticPr fontId="1"/>
  </si>
  <si>
    <t>（軽減判定用)給与所得者等チェック</t>
    <rPh sb="1" eb="3">
      <t>ケイゲン</t>
    </rPh>
    <rPh sb="3" eb="6">
      <t>ハンテイヨウ</t>
    </rPh>
    <rPh sb="7" eb="9">
      <t>キュウヨ</t>
    </rPh>
    <rPh sb="9" eb="11">
      <t>ショトク</t>
    </rPh>
    <rPh sb="11" eb="12">
      <t>シャ</t>
    </rPh>
    <rPh sb="12" eb="13">
      <t>トウ</t>
    </rPh>
    <phoneticPr fontId="1"/>
  </si>
  <si>
    <t>4月年齢</t>
    <rPh sb="1" eb="2">
      <t>ガツ</t>
    </rPh>
    <rPh sb="2" eb="4">
      <t>ネンレイ</t>
    </rPh>
    <phoneticPr fontId="1"/>
  </si>
  <si>
    <t>5月年齢</t>
    <rPh sb="1" eb="2">
      <t>ガツ</t>
    </rPh>
    <rPh sb="2" eb="4">
      <t>ネンレイ</t>
    </rPh>
    <phoneticPr fontId="1"/>
  </si>
  <si>
    <t>6月年齢</t>
    <rPh sb="1" eb="2">
      <t>ガツ</t>
    </rPh>
    <rPh sb="2" eb="4">
      <t>ネンレイ</t>
    </rPh>
    <phoneticPr fontId="1"/>
  </si>
  <si>
    <t>7月年齢</t>
    <rPh sb="1" eb="2">
      <t>ガツ</t>
    </rPh>
    <rPh sb="2" eb="4">
      <t>ネンレイ</t>
    </rPh>
    <phoneticPr fontId="1"/>
  </si>
  <si>
    <t>8月年齢</t>
    <rPh sb="1" eb="2">
      <t>ガツ</t>
    </rPh>
    <rPh sb="2" eb="4">
      <t>ネンレイ</t>
    </rPh>
    <phoneticPr fontId="1"/>
  </si>
  <si>
    <t>9月年齢</t>
    <rPh sb="1" eb="2">
      <t>ガツ</t>
    </rPh>
    <rPh sb="2" eb="4">
      <t>ネンレイ</t>
    </rPh>
    <phoneticPr fontId="1"/>
  </si>
  <si>
    <t>10月年齢</t>
    <rPh sb="2" eb="3">
      <t>ガツ</t>
    </rPh>
    <rPh sb="3" eb="5">
      <t>ネンレイ</t>
    </rPh>
    <phoneticPr fontId="1"/>
  </si>
  <si>
    <t>11月年齢</t>
    <rPh sb="2" eb="3">
      <t>ガツ</t>
    </rPh>
    <rPh sb="3" eb="5">
      <t>ネンレイ</t>
    </rPh>
    <phoneticPr fontId="1"/>
  </si>
  <si>
    <t>12月年齢</t>
    <rPh sb="2" eb="3">
      <t>ガツ</t>
    </rPh>
    <rPh sb="3" eb="5">
      <t>ネンレイ</t>
    </rPh>
    <phoneticPr fontId="1"/>
  </si>
  <si>
    <t>1月年齢</t>
    <rPh sb="1" eb="2">
      <t>ガツ</t>
    </rPh>
    <rPh sb="2" eb="4">
      <t>ネンレイ</t>
    </rPh>
    <phoneticPr fontId="1"/>
  </si>
  <si>
    <t>2月年齢</t>
    <rPh sb="1" eb="2">
      <t>ガツ</t>
    </rPh>
    <rPh sb="2" eb="4">
      <t>ネンレイ</t>
    </rPh>
    <phoneticPr fontId="1"/>
  </si>
  <si>
    <t>3月年齢</t>
    <rPh sb="1" eb="2">
      <t>ガツ</t>
    </rPh>
    <rPh sb="2" eb="4">
      <t>ネンレイ</t>
    </rPh>
    <phoneticPr fontId="1"/>
  </si>
  <si>
    <t>加入月数</t>
    <rPh sb="0" eb="2">
      <t>カニュウ</t>
    </rPh>
    <rPh sb="2" eb="4">
      <t>ゲッスウ</t>
    </rPh>
    <phoneticPr fontId="1"/>
  </si>
  <si>
    <t>介護加入月数</t>
    <rPh sb="0" eb="2">
      <t>カイゴ</t>
    </rPh>
    <rPh sb="2" eb="4">
      <t>カニュウ</t>
    </rPh>
    <rPh sb="4" eb="6">
      <t>ゲッスウ</t>
    </rPh>
    <phoneticPr fontId="1"/>
  </si>
  <si>
    <t>子子支援
加入</t>
    <rPh sb="0" eb="1">
      <t>コ</t>
    </rPh>
    <rPh sb="1" eb="2">
      <t>コ</t>
    </rPh>
    <rPh sb="2" eb="4">
      <t>シエン</t>
    </rPh>
    <rPh sb="5" eb="7">
      <t>カニュウ</t>
    </rPh>
    <phoneticPr fontId="1"/>
  </si>
  <si>
    <t>医療所得割</t>
    <rPh sb="0" eb="2">
      <t>イリョウ</t>
    </rPh>
    <rPh sb="2" eb="4">
      <t>ショトク</t>
    </rPh>
    <rPh sb="4" eb="5">
      <t>ワリ</t>
    </rPh>
    <phoneticPr fontId="1"/>
  </si>
  <si>
    <t>医療均等割</t>
    <rPh sb="0" eb="2">
      <t>イリョウ</t>
    </rPh>
    <rPh sb="2" eb="5">
      <t>キントウワ</t>
    </rPh>
    <phoneticPr fontId="1"/>
  </si>
  <si>
    <t>支援金分所得割</t>
    <rPh sb="0" eb="3">
      <t>シエンキン</t>
    </rPh>
    <rPh sb="3" eb="4">
      <t>ブン</t>
    </rPh>
    <rPh sb="4" eb="6">
      <t>ショトク</t>
    </rPh>
    <rPh sb="6" eb="7">
      <t>ワリ</t>
    </rPh>
    <phoneticPr fontId="1"/>
  </si>
  <si>
    <t>支援金分均等割</t>
    <rPh sb="0" eb="3">
      <t>シエンキン</t>
    </rPh>
    <rPh sb="3" eb="4">
      <t>ブン</t>
    </rPh>
    <rPh sb="4" eb="7">
      <t>キントウワリ</t>
    </rPh>
    <phoneticPr fontId="1"/>
  </si>
  <si>
    <t>介護所得割</t>
    <rPh sb="0" eb="2">
      <t>カイゴ</t>
    </rPh>
    <rPh sb="2" eb="4">
      <t>ショトク</t>
    </rPh>
    <rPh sb="4" eb="5">
      <t>ワリ</t>
    </rPh>
    <phoneticPr fontId="1"/>
  </si>
  <si>
    <t>介護均等割</t>
    <rPh sb="0" eb="2">
      <t>カイゴ</t>
    </rPh>
    <rPh sb="2" eb="5">
      <t>キントウワ</t>
    </rPh>
    <phoneticPr fontId="1"/>
  </si>
  <si>
    <t>子子所得割</t>
    <rPh sb="0" eb="1">
      <t>コ</t>
    </rPh>
    <rPh sb="1" eb="2">
      <t>コ</t>
    </rPh>
    <rPh sb="2" eb="5">
      <t>ショトクワリ</t>
    </rPh>
    <phoneticPr fontId="1"/>
  </si>
  <si>
    <t>子子均等割</t>
    <rPh sb="0" eb="1">
      <t>コ</t>
    </rPh>
    <rPh sb="1" eb="2">
      <t>コ</t>
    </rPh>
    <rPh sb="2" eb="5">
      <t>キントウワ</t>
    </rPh>
    <phoneticPr fontId="1"/>
  </si>
  <si>
    <t>世帯主</t>
    <rPh sb="0" eb="3">
      <t>セタイヌシ</t>
    </rPh>
    <phoneticPr fontId="1"/>
  </si>
  <si>
    <t>世帯員①</t>
    <phoneticPr fontId="1"/>
  </si>
  <si>
    <t>世帯員②</t>
    <phoneticPr fontId="1"/>
  </si>
  <si>
    <t>世帯員③</t>
    <phoneticPr fontId="1"/>
  </si>
  <si>
    <t>世帯員④</t>
    <phoneticPr fontId="1"/>
  </si>
  <si>
    <t>世帯員⑤</t>
    <phoneticPr fontId="1"/>
  </si>
  <si>
    <t>世帯員⑥</t>
    <phoneticPr fontId="1"/>
  </si>
  <si>
    <t>世帯員⑦</t>
    <phoneticPr fontId="1"/>
  </si>
  <si>
    <t>保険税計算結果</t>
    <rPh sb="0" eb="2">
      <t>ホケン</t>
    </rPh>
    <rPh sb="2" eb="3">
      <t>ゼイ</t>
    </rPh>
    <rPh sb="3" eb="5">
      <t>ケイサン</t>
    </rPh>
    <rPh sb="5" eb="7">
      <t>ケッカ</t>
    </rPh>
    <phoneticPr fontId="1"/>
  </si>
  <si>
    <t>の保険税は、</t>
    <phoneticPr fontId="1"/>
  </si>
  <si>
    <t>となる見込みです。</t>
    <rPh sb="3" eb="5">
      <t>ミコ</t>
    </rPh>
    <phoneticPr fontId="1"/>
  </si>
  <si>
    <t>内訳</t>
    <rPh sb="0" eb="2">
      <t>ウチワケ</t>
    </rPh>
    <phoneticPr fontId="1"/>
  </si>
  <si>
    <t>基礎分</t>
    <rPh sb="0" eb="2">
      <t>キソ</t>
    </rPh>
    <rPh sb="2" eb="3">
      <t>ブン</t>
    </rPh>
    <phoneticPr fontId="1"/>
  </si>
  <si>
    <t>後期高齢者
支援金等分</t>
    <rPh sb="0" eb="2">
      <t>コウキ</t>
    </rPh>
    <rPh sb="2" eb="5">
      <t>コウレイシャ</t>
    </rPh>
    <rPh sb="6" eb="8">
      <t>シエン</t>
    </rPh>
    <rPh sb="8" eb="9">
      <t>カネ</t>
    </rPh>
    <rPh sb="9" eb="10">
      <t>ナド</t>
    </rPh>
    <rPh sb="10" eb="11">
      <t>ブン</t>
    </rPh>
    <phoneticPr fontId="1"/>
  </si>
  <si>
    <t>介護納付金分</t>
    <rPh sb="0" eb="2">
      <t>カイゴ</t>
    </rPh>
    <rPh sb="2" eb="5">
      <t>ノウフキン</t>
    </rPh>
    <rPh sb="5" eb="6">
      <t>ブン</t>
    </rPh>
    <phoneticPr fontId="1"/>
  </si>
  <si>
    <t>子ども・子育て
支援納付金分</t>
    <rPh sb="0" eb="1">
      <t>コ</t>
    </rPh>
    <rPh sb="4" eb="6">
      <t>コソダ</t>
    </rPh>
    <rPh sb="8" eb="10">
      <t>シエン</t>
    </rPh>
    <rPh sb="10" eb="13">
      <t>ノウフキン</t>
    </rPh>
    <rPh sb="13" eb="14">
      <t>ブン</t>
    </rPh>
    <phoneticPr fontId="1"/>
  </si>
  <si>
    <r>
      <t>　①　所得割算定基礎額</t>
    </r>
    <r>
      <rPr>
        <sz val="12"/>
        <color theme="1"/>
        <rFont val="HG丸ｺﾞｼｯｸM-PRO"/>
        <family val="3"/>
        <charset val="128"/>
      </rPr>
      <t>（所得割標準額の合計）</t>
    </r>
    <r>
      <rPr>
        <sz val="16"/>
        <color theme="1"/>
        <rFont val="HG丸ｺﾞｼｯｸM-PRO"/>
        <family val="3"/>
        <charset val="128"/>
      </rPr>
      <t>　</t>
    </r>
    <rPh sb="3" eb="5">
      <t>ショトク</t>
    </rPh>
    <rPh sb="5" eb="6">
      <t>ワリ</t>
    </rPh>
    <rPh sb="6" eb="8">
      <t>サンテイ</t>
    </rPh>
    <rPh sb="8" eb="10">
      <t>キソ</t>
    </rPh>
    <rPh sb="10" eb="11">
      <t>ガク</t>
    </rPh>
    <rPh sb="12" eb="14">
      <t>ショトク</t>
    </rPh>
    <rPh sb="14" eb="15">
      <t>ワリ</t>
    </rPh>
    <rPh sb="15" eb="17">
      <t>ヒョウジュン</t>
    </rPh>
    <rPh sb="17" eb="18">
      <t>ガク</t>
    </rPh>
    <rPh sb="19" eb="21">
      <t>ゴウケイ</t>
    </rPh>
    <phoneticPr fontId="1"/>
  </si>
  <si>
    <t>　②　所得割税率</t>
    <rPh sb="3" eb="5">
      <t>ショトク</t>
    </rPh>
    <rPh sb="5" eb="6">
      <t>ワリ</t>
    </rPh>
    <rPh sb="6" eb="8">
      <t>ゼイリツ</t>
    </rPh>
    <phoneticPr fontId="1"/>
  </si>
  <si>
    <t>　③　所得割額　…　①×②</t>
    <rPh sb="3" eb="5">
      <t>ショトク</t>
    </rPh>
    <rPh sb="5" eb="6">
      <t>ワリ</t>
    </rPh>
    <rPh sb="6" eb="7">
      <t>ガク</t>
    </rPh>
    <phoneticPr fontId="1"/>
  </si>
  <si>
    <t>　④　均等割額</t>
    <rPh sb="3" eb="5">
      <t>キントウ</t>
    </rPh>
    <rPh sb="5" eb="6">
      <t>ワリ</t>
    </rPh>
    <rPh sb="6" eb="7">
      <t>ガク</t>
    </rPh>
    <phoneticPr fontId="1"/>
  </si>
  <si>
    <t>　⑤　対象被保険者数</t>
    <rPh sb="3" eb="5">
      <t>タイショウ</t>
    </rPh>
    <rPh sb="5" eb="9">
      <t>ヒホケンシャ</t>
    </rPh>
    <rPh sb="9" eb="10">
      <t>スウ</t>
    </rPh>
    <phoneticPr fontId="1"/>
  </si>
  <si>
    <t>　⑥　均等割額　…　④×⑤</t>
    <rPh sb="3" eb="6">
      <t>キントウワ</t>
    </rPh>
    <rPh sb="6" eb="7">
      <t>ガク</t>
    </rPh>
    <phoneticPr fontId="1"/>
  </si>
  <si>
    <t>　⑦　平等割額</t>
    <rPh sb="3" eb="5">
      <t>ビョウドウ</t>
    </rPh>
    <rPh sb="5" eb="6">
      <t>ワリ</t>
    </rPh>
    <rPh sb="6" eb="7">
      <t>ガク</t>
    </rPh>
    <phoneticPr fontId="1"/>
  </si>
  <si>
    <t>　⑧　算出合計額　…　③＋⑥＋⑦</t>
    <rPh sb="3" eb="5">
      <t>サンシュツ</t>
    </rPh>
    <rPh sb="5" eb="7">
      <t>ゴウケイ</t>
    </rPh>
    <rPh sb="7" eb="8">
      <t>ガク</t>
    </rPh>
    <phoneticPr fontId="1"/>
  </si>
  <si>
    <t>軽減</t>
    <rPh sb="0" eb="2">
      <t>ケイゲン</t>
    </rPh>
    <phoneticPr fontId="1"/>
  </si>
  <si>
    <t>　　　軽減判定所得金額</t>
    <rPh sb="3" eb="5">
      <t>ケイゲン</t>
    </rPh>
    <rPh sb="5" eb="7">
      <t>ハンテイ</t>
    </rPh>
    <rPh sb="7" eb="9">
      <t>ショトク</t>
    </rPh>
    <rPh sb="9" eb="11">
      <t>キンガク</t>
    </rPh>
    <phoneticPr fontId="1"/>
  </si>
  <si>
    <t>　　　給与所得者等の数</t>
    <rPh sb="3" eb="5">
      <t>キュウヨ</t>
    </rPh>
    <rPh sb="5" eb="7">
      <t>ショトク</t>
    </rPh>
    <rPh sb="7" eb="8">
      <t>シャ</t>
    </rPh>
    <rPh sb="8" eb="9">
      <t>トウ</t>
    </rPh>
    <rPh sb="10" eb="11">
      <t>カズ</t>
    </rPh>
    <phoneticPr fontId="1"/>
  </si>
  <si>
    <t>　　　加入者数</t>
    <rPh sb="3" eb="6">
      <t>カニュウシャ</t>
    </rPh>
    <rPh sb="6" eb="7">
      <t>スウ</t>
    </rPh>
    <phoneticPr fontId="1"/>
  </si>
  <si>
    <t>　　　未就学児人数</t>
    <rPh sb="3" eb="7">
      <t>ミシュウガクジ</t>
    </rPh>
    <rPh sb="7" eb="8">
      <t>ニン</t>
    </rPh>
    <rPh sb="8" eb="9">
      <t>スウ</t>
    </rPh>
    <phoneticPr fontId="1"/>
  </si>
  <si>
    <t>　　　所得軽減割合</t>
    <rPh sb="5" eb="7">
      <t>ケイゲン</t>
    </rPh>
    <rPh sb="7" eb="9">
      <t>ワリアイ</t>
    </rPh>
    <phoneticPr fontId="1"/>
  </si>
  <si>
    <t xml:space="preserve">  ⑨　軽減均等割額</t>
    <rPh sb="4" eb="6">
      <t>ケイゲン</t>
    </rPh>
    <rPh sb="6" eb="8">
      <t>キントウ</t>
    </rPh>
    <rPh sb="8" eb="9">
      <t>ワリ</t>
    </rPh>
    <rPh sb="9" eb="10">
      <t>ガク</t>
    </rPh>
    <phoneticPr fontId="1"/>
  </si>
  <si>
    <t xml:space="preserve">  ⑩　軽減平等割額</t>
    <rPh sb="6" eb="8">
      <t>ビョウドウ</t>
    </rPh>
    <phoneticPr fontId="1"/>
  </si>
  <si>
    <t>　⑪　軽減後算出額　…⑧－⑨－⑩</t>
    <rPh sb="3" eb="5">
      <t>ケイゲン</t>
    </rPh>
    <rPh sb="5" eb="6">
      <t>ゴ</t>
    </rPh>
    <rPh sb="6" eb="8">
      <t>サンシュツ</t>
    </rPh>
    <rPh sb="8" eb="9">
      <t>ガク</t>
    </rPh>
    <phoneticPr fontId="1"/>
  </si>
  <si>
    <t>　　　限度額</t>
    <rPh sb="3" eb="5">
      <t>ゲンド</t>
    </rPh>
    <rPh sb="5" eb="6">
      <t>ガク</t>
    </rPh>
    <phoneticPr fontId="1"/>
  </si>
  <si>
    <t>　⑫　限度超過額</t>
    <rPh sb="3" eb="5">
      <t>ゲンド</t>
    </rPh>
    <rPh sb="5" eb="7">
      <t>チョウカ</t>
    </rPh>
    <rPh sb="7" eb="8">
      <t>ガク</t>
    </rPh>
    <phoneticPr fontId="1"/>
  </si>
  <si>
    <t>　⑬　年間保険税額…⑪-⑫</t>
    <rPh sb="3" eb="5">
      <t>ネンカン</t>
    </rPh>
    <rPh sb="5" eb="7">
      <t>ホケン</t>
    </rPh>
    <rPh sb="7" eb="8">
      <t>ゼイ</t>
    </rPh>
    <rPh sb="8" eb="9">
      <t>ガク</t>
    </rPh>
    <phoneticPr fontId="1"/>
  </si>
  <si>
    <t>税率・税額</t>
    <rPh sb="0" eb="2">
      <t>ゼイリツ</t>
    </rPh>
    <rPh sb="3" eb="5">
      <t>ゼイガク</t>
    </rPh>
    <phoneticPr fontId="1"/>
  </si>
  <si>
    <t>医療分</t>
    <rPh sb="0" eb="2">
      <t>イリョウ</t>
    </rPh>
    <rPh sb="2" eb="3">
      <t>ブン</t>
    </rPh>
    <phoneticPr fontId="1"/>
  </si>
  <si>
    <t>後期分</t>
    <rPh sb="0" eb="2">
      <t>コウキ</t>
    </rPh>
    <rPh sb="2" eb="3">
      <t>ブン</t>
    </rPh>
    <phoneticPr fontId="1"/>
  </si>
  <si>
    <t>介護分</t>
    <rPh sb="0" eb="2">
      <t>カイゴ</t>
    </rPh>
    <rPh sb="2" eb="3">
      <t>ブン</t>
    </rPh>
    <phoneticPr fontId="1"/>
  </si>
  <si>
    <t>所得割率</t>
    <rPh sb="0" eb="2">
      <t>ショトク</t>
    </rPh>
    <rPh sb="2" eb="3">
      <t>ワリ</t>
    </rPh>
    <rPh sb="3" eb="4">
      <t>リツ</t>
    </rPh>
    <phoneticPr fontId="1"/>
  </si>
  <si>
    <t>均等割額</t>
    <rPh sb="0" eb="3">
      <t>キントウワリ</t>
    </rPh>
    <rPh sb="3" eb="4">
      <t>ガク</t>
    </rPh>
    <phoneticPr fontId="1"/>
  </si>
  <si>
    <t>平等割額</t>
    <rPh sb="0" eb="2">
      <t>ビョウドウ</t>
    </rPh>
    <rPh sb="2" eb="3">
      <t>ワリ</t>
    </rPh>
    <rPh sb="3" eb="4">
      <t>ガク</t>
    </rPh>
    <phoneticPr fontId="1"/>
  </si>
  <si>
    <t>賦課限度額</t>
    <rPh sb="0" eb="2">
      <t>フカ</t>
    </rPh>
    <rPh sb="2" eb="4">
      <t>ゲンド</t>
    </rPh>
    <rPh sb="4" eb="5">
      <t>ガク</t>
    </rPh>
    <phoneticPr fontId="1"/>
  </si>
  <si>
    <t xml:space="preserve"> </t>
    <phoneticPr fontId="1"/>
  </si>
  <si>
    <t>年齢判定基準日</t>
    <rPh sb="0" eb="2">
      <t>ネンレイ</t>
    </rPh>
    <rPh sb="2" eb="4">
      <t>ハンテイ</t>
    </rPh>
    <rPh sb="4" eb="6">
      <t>キジュン</t>
    </rPh>
    <rPh sb="6" eb="7">
      <t>ヒ</t>
    </rPh>
    <phoneticPr fontId="1"/>
  </si>
  <si>
    <t>未就学・子子判定</t>
    <rPh sb="0" eb="3">
      <t>ミシュウガク</t>
    </rPh>
    <rPh sb="4" eb="5">
      <t>コ</t>
    </rPh>
    <rPh sb="5" eb="6">
      <t>コ</t>
    </rPh>
    <rPh sb="6" eb="8">
      <t>ハンテイ</t>
    </rPh>
    <phoneticPr fontId="1"/>
  </si>
  <si>
    <t>軽減判定基準　一覧</t>
    <rPh sb="0" eb="2">
      <t>ケイゲン</t>
    </rPh>
    <rPh sb="2" eb="4">
      <t>ハンテイ</t>
    </rPh>
    <rPh sb="4" eb="6">
      <t>キジュン</t>
    </rPh>
    <rPh sb="7" eb="9">
      <t>イチラン</t>
    </rPh>
    <phoneticPr fontId="1"/>
  </si>
  <si>
    <r>
      <t xml:space="preserve">給与所得者等の数
</t>
    </r>
    <r>
      <rPr>
        <sz val="8"/>
        <color theme="1"/>
        <rFont val="ＭＳ Ｐゴシック"/>
        <family val="3"/>
        <charset val="128"/>
        <scheme val="minor"/>
      </rPr>
      <t>（擬主・特定同一世帯所属者含む）</t>
    </r>
    <rPh sb="0" eb="2">
      <t>キュウヨ</t>
    </rPh>
    <rPh sb="2" eb="4">
      <t>ショトク</t>
    </rPh>
    <rPh sb="4" eb="5">
      <t>シャ</t>
    </rPh>
    <rPh sb="5" eb="6">
      <t>トウ</t>
    </rPh>
    <rPh sb="7" eb="8">
      <t>スウ</t>
    </rPh>
    <rPh sb="10" eb="11">
      <t>ギ</t>
    </rPh>
    <rPh sb="11" eb="12">
      <t>ヌシ</t>
    </rPh>
    <rPh sb="13" eb="15">
      <t>トクテイ</t>
    </rPh>
    <rPh sb="15" eb="17">
      <t>ドウイツ</t>
    </rPh>
    <rPh sb="17" eb="19">
      <t>セタイ</t>
    </rPh>
    <rPh sb="19" eb="21">
      <t>ショゾク</t>
    </rPh>
    <rPh sb="21" eb="22">
      <t>シャ</t>
    </rPh>
    <rPh sb="22" eb="23">
      <t>フク</t>
    </rPh>
    <phoneticPr fontId="1"/>
  </si>
  <si>
    <t>7割軽減</t>
    <rPh sb="1" eb="2">
      <t>ワリ</t>
    </rPh>
    <rPh sb="2" eb="4">
      <t>ケイゲン</t>
    </rPh>
    <phoneticPr fontId="1"/>
  </si>
  <si>
    <t>-</t>
    <phoneticPr fontId="1"/>
  </si>
  <si>
    <t>5割軽減</t>
    <rPh sb="1" eb="2">
      <t>ワリ</t>
    </rPh>
    <rPh sb="2" eb="4">
      <t>ケイゲン</t>
    </rPh>
    <phoneticPr fontId="1"/>
  </si>
  <si>
    <t>-</t>
  </si>
  <si>
    <t xml:space="preserve">※擬主は人数に含まない
</t>
    <rPh sb="1" eb="2">
      <t>ギ</t>
    </rPh>
    <rPh sb="2" eb="3">
      <t>ヌシ</t>
    </rPh>
    <rPh sb="4" eb="6">
      <t>ニンズウ</t>
    </rPh>
    <rPh sb="7" eb="8">
      <t>フク</t>
    </rPh>
    <phoneticPr fontId="1"/>
  </si>
  <si>
    <t>2割軽減</t>
    <rPh sb="1" eb="2">
      <t>ワリ</t>
    </rPh>
    <rPh sb="2" eb="4">
      <t>ケイゲン</t>
    </rPh>
    <phoneticPr fontId="1"/>
  </si>
  <si>
    <t>※擬主は人数に含まない</t>
    <rPh sb="1" eb="2">
      <t>ギ</t>
    </rPh>
    <rPh sb="2" eb="3">
      <t>ヌシ</t>
    </rPh>
    <rPh sb="4" eb="6">
      <t>ニンズウ</t>
    </rPh>
    <rPh sb="7" eb="8">
      <t>フク</t>
    </rPh>
    <phoneticPr fontId="1"/>
  </si>
  <si>
    <t>給与所得者等人数</t>
    <rPh sb="0" eb="2">
      <t>キュウヨ</t>
    </rPh>
    <rPh sb="2" eb="4">
      <t>ショトク</t>
    </rPh>
    <rPh sb="4" eb="5">
      <t>シャ</t>
    </rPh>
    <rPh sb="5" eb="6">
      <t>トウ</t>
    </rPh>
    <rPh sb="6" eb="8">
      <t>ニンズウ</t>
    </rPh>
    <phoneticPr fontId="1"/>
  </si>
  <si>
    <t>加入者数</t>
    <rPh sb="0" eb="3">
      <t>カニュウシャ</t>
    </rPh>
    <rPh sb="3" eb="4">
      <t>スウ</t>
    </rPh>
    <phoneticPr fontId="1"/>
  </si>
  <si>
    <t>基準額</t>
    <rPh sb="0" eb="2">
      <t>キジュン</t>
    </rPh>
    <rPh sb="2" eb="3">
      <t>ガク</t>
    </rPh>
    <phoneticPr fontId="1"/>
  </si>
  <si>
    <t>加除額</t>
    <rPh sb="0" eb="2">
      <t>カジョ</t>
    </rPh>
    <rPh sb="2" eb="3">
      <t>ガク</t>
    </rPh>
    <phoneticPr fontId="1"/>
  </si>
  <si>
    <t>軽減判定額</t>
    <rPh sb="0" eb="2">
      <t>ケイゲン</t>
    </rPh>
    <rPh sb="2" eb="4">
      <t>ハンテイ</t>
    </rPh>
    <rPh sb="4" eb="5">
      <t>ガク</t>
    </rPh>
    <phoneticPr fontId="1"/>
  </si>
  <si>
    <t>軽減割合</t>
    <rPh sb="0" eb="2">
      <t>ケイゲン</t>
    </rPh>
    <rPh sb="2" eb="4">
      <t>ワリアイ</t>
    </rPh>
    <phoneticPr fontId="1"/>
  </si>
  <si>
    <t>～</t>
    <phoneticPr fontId="1"/>
  </si>
  <si>
    <t>給与収入：</t>
    <rPh sb="0" eb="2">
      <t>キュウヨ</t>
    </rPh>
    <rPh sb="2" eb="4">
      <t>シュウニュウ</t>
    </rPh>
    <phoneticPr fontId="1"/>
  </si>
  <si>
    <t>世帯員①</t>
    <rPh sb="0" eb="3">
      <t>セタイイン</t>
    </rPh>
    <phoneticPr fontId="1"/>
  </si>
  <si>
    <t>世帯員②</t>
    <rPh sb="0" eb="3">
      <t>セタイイン</t>
    </rPh>
    <phoneticPr fontId="1"/>
  </si>
  <si>
    <t>世帯員③</t>
    <rPh sb="0" eb="3">
      <t>セタイイン</t>
    </rPh>
    <phoneticPr fontId="1"/>
  </si>
  <si>
    <t>給与所得：</t>
    <rPh sb="0" eb="2">
      <t>キュウヨ</t>
    </rPh>
    <rPh sb="2" eb="4">
      <t>ショトク</t>
    </rPh>
    <phoneticPr fontId="1"/>
  </si>
  <si>
    <t>給与収入額</t>
    <rPh sb="0" eb="2">
      <t>キュウヨ</t>
    </rPh>
    <rPh sb="2" eb="4">
      <t>シュウニュウ</t>
    </rPh>
    <rPh sb="4" eb="5">
      <t>ガク</t>
    </rPh>
    <phoneticPr fontId="1"/>
  </si>
  <si>
    <t>判定</t>
    <rPh sb="0" eb="2">
      <t>ハンテイ</t>
    </rPh>
    <phoneticPr fontId="1"/>
  </si>
  <si>
    <t>世帯員④</t>
    <rPh sb="0" eb="3">
      <t>セタイイン</t>
    </rPh>
    <phoneticPr fontId="1"/>
  </si>
  <si>
    <t>世帯員⑤</t>
    <rPh sb="0" eb="3">
      <t>セタイイン</t>
    </rPh>
    <phoneticPr fontId="1"/>
  </si>
  <si>
    <t>世帯員⑥</t>
    <rPh sb="0" eb="3">
      <t>セタイイン</t>
    </rPh>
    <phoneticPr fontId="1"/>
  </si>
  <si>
    <t>世帯員⑦</t>
    <rPh sb="0" eb="3">
      <t>セタイイン</t>
    </rPh>
    <phoneticPr fontId="1"/>
  </si>
  <si>
    <t>年金収入：</t>
    <rPh sb="0" eb="2">
      <t>ネンキン</t>
    </rPh>
    <rPh sb="2" eb="4">
      <t>シュウニュウ</t>
    </rPh>
    <phoneticPr fontId="1"/>
  </si>
  <si>
    <t>年金以外の合計所得：</t>
    <rPh sb="0" eb="2">
      <t>ネンキン</t>
    </rPh>
    <rPh sb="2" eb="4">
      <t>イガイ</t>
    </rPh>
    <rPh sb="5" eb="7">
      <t>ゴウケイ</t>
    </rPh>
    <rPh sb="7" eb="9">
      <t>ショトク</t>
    </rPh>
    <phoneticPr fontId="1"/>
  </si>
  <si>
    <t>年金所得：</t>
    <rPh sb="0" eb="2">
      <t>ネンキン</t>
    </rPh>
    <rPh sb="2" eb="4">
      <t>ショトク</t>
    </rPh>
    <phoneticPr fontId="1"/>
  </si>
  <si>
    <t>年齢判定</t>
    <rPh sb="0" eb="2">
      <t>ネンレイ</t>
    </rPh>
    <rPh sb="2" eb="4">
      <t>ハンテイ</t>
    </rPh>
    <phoneticPr fontId="1"/>
  </si>
  <si>
    <t>年金以外の合計所得判定</t>
    <rPh sb="0" eb="2">
      <t>ネンキン</t>
    </rPh>
    <rPh sb="2" eb="4">
      <t>イガイ</t>
    </rPh>
    <rPh sb="5" eb="7">
      <t>ゴウケイ</t>
    </rPh>
    <rPh sb="7" eb="9">
      <t>ショトク</t>
    </rPh>
    <rPh sb="9" eb="11">
      <t>ハンテイ</t>
    </rPh>
    <phoneticPr fontId="1"/>
  </si>
  <si>
    <t>年金収入額判定</t>
    <rPh sb="0" eb="2">
      <t>ネンキン</t>
    </rPh>
    <rPh sb="2" eb="4">
      <t>シュウニュウ</t>
    </rPh>
    <rPh sb="4" eb="5">
      <t>ガク</t>
    </rPh>
    <rPh sb="5" eb="7">
      <t>ハンテイ</t>
    </rPh>
    <phoneticPr fontId="1"/>
  </si>
  <si>
    <t>年金所得</t>
    <rPh sb="0" eb="2">
      <t>ネンキン</t>
    </rPh>
    <rPh sb="2" eb="4">
      <t>ショトク</t>
    </rPh>
    <phoneticPr fontId="1"/>
  </si>
  <si>
    <t>65歳未満</t>
    <rPh sb="2" eb="5">
      <t>サイミマン</t>
    </rPh>
    <phoneticPr fontId="1"/>
  </si>
  <si>
    <t>1000万以下</t>
    <rPh sb="4" eb="7">
      <t>マンイカ</t>
    </rPh>
    <phoneticPr fontId="1"/>
  </si>
  <si>
    <t>130万円以下</t>
    <rPh sb="3" eb="5">
      <t>マンエン</t>
    </rPh>
    <rPh sb="5" eb="7">
      <t>イカ</t>
    </rPh>
    <phoneticPr fontId="1"/>
  </si>
  <si>
    <t>130万円超
410万円以下</t>
    <rPh sb="3" eb="4">
      <t>マン</t>
    </rPh>
    <rPh sb="4" eb="5">
      <t>エン</t>
    </rPh>
    <rPh sb="5" eb="6">
      <t>コ</t>
    </rPh>
    <rPh sb="10" eb="14">
      <t>マンエンイカ</t>
    </rPh>
    <phoneticPr fontId="1"/>
  </si>
  <si>
    <t>410万円超
770万円以下</t>
    <rPh sb="3" eb="5">
      <t>マンエン</t>
    </rPh>
    <rPh sb="5" eb="6">
      <t>コ</t>
    </rPh>
    <rPh sb="10" eb="12">
      <t>マンエン</t>
    </rPh>
    <rPh sb="12" eb="14">
      <t>イカ</t>
    </rPh>
    <phoneticPr fontId="1"/>
  </si>
  <si>
    <t>770万円超
1000万円以下</t>
    <rPh sb="3" eb="5">
      <t>マンエン</t>
    </rPh>
    <rPh sb="5" eb="6">
      <t>コ</t>
    </rPh>
    <rPh sb="11" eb="13">
      <t>マンエン</t>
    </rPh>
    <rPh sb="13" eb="15">
      <t>イカ</t>
    </rPh>
    <phoneticPr fontId="1"/>
  </si>
  <si>
    <t>1000万円超</t>
    <rPh sb="4" eb="6">
      <t>マンエン</t>
    </rPh>
    <rPh sb="6" eb="7">
      <t>コ</t>
    </rPh>
    <phoneticPr fontId="1"/>
  </si>
  <si>
    <t>1000万円超
2000万円以下</t>
    <rPh sb="4" eb="5">
      <t>マン</t>
    </rPh>
    <rPh sb="5" eb="6">
      <t>エン</t>
    </rPh>
    <rPh sb="6" eb="7">
      <t>コ</t>
    </rPh>
    <rPh sb="12" eb="14">
      <t>マンエン</t>
    </rPh>
    <rPh sb="14" eb="16">
      <t>イカ</t>
    </rPh>
    <phoneticPr fontId="1"/>
  </si>
  <si>
    <t>2000万円超</t>
    <rPh sb="4" eb="6">
      <t>マンエン</t>
    </rPh>
    <rPh sb="6" eb="7">
      <t>コ</t>
    </rPh>
    <phoneticPr fontId="1"/>
  </si>
  <si>
    <t>65歳以上</t>
    <rPh sb="2" eb="5">
      <t>サイイジョウ</t>
    </rPh>
    <phoneticPr fontId="1"/>
  </si>
  <si>
    <t>330万円以下</t>
    <rPh sb="3" eb="5">
      <t>マンエン</t>
    </rPh>
    <rPh sb="5" eb="7">
      <t>イカ</t>
    </rPh>
    <phoneticPr fontId="1"/>
  </si>
  <si>
    <t>330万円超
410万円以下</t>
    <rPh sb="3" eb="4">
      <t>マン</t>
    </rPh>
    <rPh sb="4" eb="5">
      <t>エン</t>
    </rPh>
    <rPh sb="5" eb="6">
      <t>コ</t>
    </rPh>
    <rPh sb="10" eb="14">
      <t>マンエンイカ</t>
    </rPh>
    <phoneticPr fontId="1"/>
  </si>
  <si>
    <t>子ども・子育て支援</t>
    <rPh sb="0" eb="1">
      <t>コ</t>
    </rPh>
    <rPh sb="4" eb="6">
      <t>コソダ</t>
    </rPh>
    <rPh sb="7" eb="9">
      <t>シエン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</si>
</sst>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0;&quot;¥&quot;\-#,##0"/>
    <numFmt numFmtId="176" formatCode="#,###;&quot;△ &quot;#,###"/>
    <numFmt numFmtId="177" formatCode="#,##0_ "/>
    <numFmt numFmtId="178" formatCode="0.0%"/>
    <numFmt numFmtId="179" formatCode="[DBNum3]ggge&quot;年度&quot;"/>
    <numFmt numFmtId="180" formatCode="#,###\ &quot;歳 &quot;"/>
    <numFmt numFmtId="181" formatCode="#,##0;&quot;△ &quot;#,##0"/>
    <numFmt numFmtId="182" formatCode="#,###\ &quot;名 &quot;"/>
    <numFmt numFmtId="183" formatCode="\(\ #,###\ &quot;円 / 月&quot;\ \)"/>
    <numFmt numFmtId="184" formatCode="#,###\ &quot;円 / 12か月&quot;"/>
    <numFmt numFmtId="185" formatCode="&quot;（ 1か月あたり&quot;\ #,###\ &quot;円 ）&quot;"/>
    <numFmt numFmtId="186" formatCode="ggge&quot;年度&quot;"/>
    <numFmt numFmtId="187" formatCode="yyyy/m/d;@"/>
    <numFmt numFmtId="188" formatCode="#,###\ &quot;人&quot;"/>
  </numFmts>
  <fonts count="28"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ゴシック"/>
      <family val="3"/>
      <charset val="128"/>
    </font>
    <font>
      <sz val="12"/>
      <color theme="0"/>
      <name val="ＭＳ ゴシック"/>
      <family val="3"/>
      <charset val="128"/>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8"/>
      <color theme="1"/>
      <name val="ＭＳ ゴシック"/>
      <family val="3"/>
      <charset val="128"/>
    </font>
    <font>
      <sz val="16"/>
      <color theme="1"/>
      <name val="ＭＳ ゴシック"/>
      <family val="3"/>
      <charset val="128"/>
    </font>
    <font>
      <sz val="20"/>
      <color theme="1"/>
      <name val="ＭＳ ゴシック"/>
      <family val="3"/>
      <charset val="128"/>
    </font>
    <font>
      <sz val="26"/>
      <color theme="1"/>
      <name val="ＭＳ ゴシック"/>
      <family val="3"/>
      <charset val="128"/>
    </font>
    <font>
      <sz val="14"/>
      <color theme="1"/>
      <name val="ＭＳ ゴシック"/>
      <family val="3"/>
      <charset val="128"/>
    </font>
    <font>
      <b/>
      <sz val="20"/>
      <color theme="0"/>
      <name val="HG丸ｺﾞｼｯｸM-PRO"/>
      <family val="3"/>
      <charset val="128"/>
    </font>
    <font>
      <sz val="14"/>
      <name val="ＭＳ ゴシック"/>
      <family val="3"/>
      <charset val="128"/>
    </font>
    <font>
      <sz val="14"/>
      <color theme="1"/>
      <name val="HG丸ｺﾞｼｯｸM-PRO"/>
      <family val="3"/>
      <charset val="128"/>
    </font>
    <font>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16"/>
      <color theme="1"/>
      <name val="HG丸ｺﾞｼｯｸM-PRO"/>
      <family val="3"/>
      <charset val="128"/>
    </font>
    <font>
      <sz val="16"/>
      <name val="HG丸ｺﾞｼｯｸM-PRO"/>
      <family val="3"/>
      <charset val="128"/>
    </font>
    <font>
      <b/>
      <sz val="16"/>
      <color theme="1"/>
      <name val="HG丸ｺﾞｼｯｸM-PRO"/>
      <family val="3"/>
      <charset val="128"/>
    </font>
    <font>
      <b/>
      <sz val="18"/>
      <color theme="1"/>
      <name val="ＭＳ ゴシック"/>
      <family val="3"/>
      <charset val="128"/>
    </font>
    <font>
      <sz val="8.6999999999999993"/>
      <color rgb="FF333333"/>
      <name val="ＭＳ Ｐゴシック"/>
      <family val="3"/>
      <charset val="128"/>
      <scheme val="minor"/>
    </font>
    <font>
      <sz val="9"/>
      <color theme="1"/>
      <name val="ＭＳ ゴシック"/>
      <family val="3"/>
      <charset val="128"/>
    </font>
    <font>
      <sz val="12"/>
      <color indexed="81"/>
      <name val="ＭＳ Ｐゴシック"/>
      <family val="3"/>
      <charset val="128"/>
      <scheme val="minor"/>
    </font>
    <font>
      <b/>
      <sz val="12"/>
      <color indexed="81"/>
      <name val="ＭＳ Ｐゴシック"/>
      <family val="3"/>
      <charset val="128"/>
      <scheme val="minor"/>
    </font>
    <font>
      <sz val="9"/>
      <color theme="1"/>
      <name val="HG丸ｺﾞｼｯｸM-PRO"/>
      <family val="3"/>
      <charset val="128"/>
    </font>
  </fonts>
  <fills count="9">
    <fill>
      <patternFill patternType="none"/>
    </fill>
    <fill>
      <patternFill patternType="gray125"/>
    </fill>
    <fill>
      <patternFill patternType="solid">
        <fgColor theme="3" tint="0.79998168889431442"/>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rgb="FFFFC000"/>
        <bgColor indexed="64"/>
      </patternFill>
    </fill>
    <fill>
      <patternFill patternType="solid">
        <fgColor rgb="FFCCFFCC"/>
        <bgColor indexed="64"/>
      </patternFill>
    </fill>
    <fill>
      <patternFill patternType="solid">
        <fgColor rgb="FFFFFF00"/>
        <bgColor indexed="64"/>
      </patternFill>
    </fill>
    <fill>
      <patternFill patternType="solid">
        <fgColor rgb="FF66FFFF"/>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auto="1"/>
      </right>
      <top style="medium">
        <color indexed="64"/>
      </top>
      <bottom style="thin">
        <color auto="1"/>
      </bottom>
      <diagonal/>
    </border>
    <border>
      <left/>
      <right style="thin">
        <color auto="1"/>
      </right>
      <top style="thin">
        <color auto="1"/>
      </top>
      <bottom style="medium">
        <color indexed="64"/>
      </bottom>
      <diagonal/>
    </border>
    <border>
      <left style="thin">
        <color auto="1"/>
      </left>
      <right/>
      <top style="medium">
        <color indexed="64"/>
      </top>
      <bottom style="thin">
        <color auto="1"/>
      </bottom>
      <diagonal/>
    </border>
    <border>
      <left style="thin">
        <color auto="1"/>
      </left>
      <right style="thin">
        <color auto="1"/>
      </right>
      <top style="medium">
        <color indexed="64"/>
      </top>
      <bottom/>
      <diagonal/>
    </border>
    <border>
      <left style="thin">
        <color auto="1"/>
      </left>
      <right style="thin">
        <color auto="1"/>
      </right>
      <top/>
      <bottom style="medium">
        <color indexed="64"/>
      </bottom>
      <diagonal/>
    </border>
    <border>
      <left style="thin">
        <color auto="1"/>
      </left>
      <right style="medium">
        <color indexed="64"/>
      </right>
      <top style="medium">
        <color indexed="64"/>
      </top>
      <bottom/>
      <diagonal/>
    </border>
    <border>
      <left style="thin">
        <color auto="1"/>
      </left>
      <right style="medium">
        <color indexed="64"/>
      </right>
      <top/>
      <bottom style="medium">
        <color indexed="64"/>
      </bottom>
      <diagonal/>
    </border>
  </borders>
  <cellStyleXfs count="1">
    <xf numFmtId="0" fontId="0" fillId="0" borderId="0">
      <alignment vertical="center"/>
    </xf>
  </cellStyleXfs>
  <cellXfs count="174">
    <xf numFmtId="0" fontId="0" fillId="0" borderId="0" xfId="0">
      <alignment vertical="center"/>
    </xf>
    <xf numFmtId="0" fontId="0" fillId="2" borderId="1" xfId="0" applyFill="1" applyBorder="1" applyAlignment="1">
      <alignment horizontal="center" vertical="center"/>
    </xf>
    <xf numFmtId="177" fontId="0" fillId="0" borderId="1" xfId="0" applyNumberFormat="1" applyBorder="1">
      <alignment vertical="center"/>
    </xf>
    <xf numFmtId="177" fontId="0" fillId="0" borderId="1" xfId="0" applyNumberFormat="1" applyBorder="1" applyAlignment="1">
      <alignment horizontal="center" vertical="center"/>
    </xf>
    <xf numFmtId="177" fontId="0" fillId="0" borderId="0" xfId="0" applyNumberFormat="1">
      <alignment vertical="center"/>
    </xf>
    <xf numFmtId="0" fontId="3" fillId="2" borderId="1" xfId="0" applyFont="1" applyFill="1" applyBorder="1" applyAlignment="1">
      <alignment horizontal="center" vertical="center"/>
    </xf>
    <xf numFmtId="0" fontId="3" fillId="0" borderId="0" xfId="0" applyFont="1">
      <alignment vertical="center"/>
    </xf>
    <xf numFmtId="0" fontId="4" fillId="3" borderId="0" xfId="0" applyFont="1" applyFill="1">
      <alignment vertical="center"/>
    </xf>
    <xf numFmtId="176" fontId="3" fillId="4" borderId="1" xfId="0" applyNumberFormat="1" applyFont="1" applyFill="1" applyBorder="1">
      <alignment vertical="center"/>
    </xf>
    <xf numFmtId="176" fontId="3" fillId="0" borderId="0" xfId="0" applyNumberFormat="1" applyFont="1">
      <alignment vertical="center"/>
    </xf>
    <xf numFmtId="0" fontId="0" fillId="0" borderId="0" xfId="0" applyAlignment="1">
      <alignment horizontal="right" vertical="center"/>
    </xf>
    <xf numFmtId="0" fontId="0" fillId="0" borderId="0" xfId="0" applyAlignment="1">
      <alignment horizontal="center" vertical="center"/>
    </xf>
    <xf numFmtId="5" fontId="0" fillId="0" borderId="0" xfId="0" applyNumberFormat="1" applyAlignment="1">
      <alignment horizontal="right" vertical="center"/>
    </xf>
    <xf numFmtId="5" fontId="0" fillId="0" borderId="0" xfId="0" applyNumberFormat="1" applyAlignment="1">
      <alignment horizontal="left" vertical="center"/>
    </xf>
    <xf numFmtId="0" fontId="0" fillId="0" borderId="0" xfId="0" applyAlignment="1">
      <alignment vertical="center" wrapText="1"/>
    </xf>
    <xf numFmtId="0" fontId="7" fillId="0" borderId="1" xfId="0" applyFont="1" applyBorder="1">
      <alignment vertical="center"/>
    </xf>
    <xf numFmtId="0" fontId="7" fillId="0" borderId="1" xfId="0" applyFont="1" applyBorder="1" applyAlignment="1">
      <alignment vertical="center" wrapText="1"/>
    </xf>
    <xf numFmtId="0" fontId="7" fillId="0" borderId="0" xfId="0" applyFont="1">
      <alignment vertical="center"/>
    </xf>
    <xf numFmtId="0" fontId="7" fillId="0" borderId="0" xfId="0" applyFont="1" applyAlignment="1">
      <alignment horizontal="right" vertical="center"/>
    </xf>
    <xf numFmtId="0" fontId="5" fillId="0" borderId="0" xfId="0" applyFont="1" applyAlignment="1">
      <alignment horizontal="center" vertical="center"/>
    </xf>
    <xf numFmtId="0" fontId="6" fillId="0" borderId="1" xfId="0" applyFont="1" applyBorder="1" applyAlignment="1">
      <alignment horizontal="center" vertical="center"/>
    </xf>
    <xf numFmtId="5" fontId="7" fillId="0" borderId="1" xfId="0" applyNumberFormat="1" applyFont="1" applyBorder="1">
      <alignment vertical="center"/>
    </xf>
    <xf numFmtId="180" fontId="7" fillId="0" borderId="0" xfId="0" applyNumberFormat="1" applyFont="1" applyAlignment="1">
      <alignment horizontal="left" vertical="center"/>
    </xf>
    <xf numFmtId="0" fontId="7" fillId="0" borderId="5" xfId="0" applyFont="1" applyBorder="1" applyAlignment="1">
      <alignment horizontal="right" vertical="center"/>
    </xf>
    <xf numFmtId="5" fontId="7" fillId="0" borderId="0" xfId="0" applyNumberFormat="1" applyFont="1" applyAlignment="1">
      <alignment horizontal="left" vertical="center"/>
    </xf>
    <xf numFmtId="5" fontId="7" fillId="0" borderId="5" xfId="0" applyNumberFormat="1" applyFont="1" applyBorder="1">
      <alignment vertical="center"/>
    </xf>
    <xf numFmtId="5" fontId="7" fillId="0" borderId="0" xfId="0" applyNumberFormat="1" applyFont="1">
      <alignment vertical="center"/>
    </xf>
    <xf numFmtId="0" fontId="0" fillId="0" borderId="6" xfId="0" applyBorder="1">
      <alignment vertical="center"/>
    </xf>
    <xf numFmtId="0" fontId="7" fillId="6" borderId="1" xfId="0" applyFont="1" applyFill="1" applyBorder="1" applyAlignment="1">
      <alignment horizontal="center" vertical="center"/>
    </xf>
    <xf numFmtId="5" fontId="0" fillId="7" borderId="0" xfId="0" applyNumberFormat="1" applyFill="1" applyAlignment="1">
      <alignment horizontal="left" vertical="center"/>
    </xf>
    <xf numFmtId="0" fontId="7" fillId="0" borderId="5" xfId="0" applyFont="1" applyBorder="1" applyAlignment="1">
      <alignment horizontal="right" vertical="center" wrapText="1"/>
    </xf>
    <xf numFmtId="0" fontId="7" fillId="0" borderId="0" xfId="0" applyFont="1" applyAlignment="1">
      <alignment vertical="center" wrapText="1"/>
    </xf>
    <xf numFmtId="0" fontId="7" fillId="0" borderId="0" xfId="0" applyFont="1" applyAlignment="1">
      <alignment horizontal="right" vertical="center" wrapText="1"/>
    </xf>
    <xf numFmtId="5" fontId="7" fillId="7" borderId="5" xfId="0" applyNumberFormat="1" applyFont="1" applyFill="1" applyBorder="1" applyAlignment="1">
      <alignment horizontal="left" vertical="center"/>
    </xf>
    <xf numFmtId="5" fontId="0" fillId="0" borderId="1" xfId="0" applyNumberFormat="1" applyBorder="1" applyAlignment="1">
      <alignment horizontal="right" vertical="center"/>
    </xf>
    <xf numFmtId="0" fontId="7" fillId="0" borderId="0" xfId="0" applyFont="1" applyAlignment="1">
      <alignment horizontal="left" vertical="center"/>
    </xf>
    <xf numFmtId="14" fontId="3" fillId="0" borderId="0" xfId="0" applyNumberFormat="1" applyFont="1">
      <alignment vertical="center"/>
    </xf>
    <xf numFmtId="0" fontId="9" fillId="0" borderId="0" xfId="0" applyFont="1" applyAlignment="1">
      <alignment vertical="top" wrapText="1"/>
    </xf>
    <xf numFmtId="0" fontId="10" fillId="0" borderId="0" xfId="0" applyFont="1">
      <alignment vertical="center"/>
    </xf>
    <xf numFmtId="183" fontId="8" fillId="0" borderId="0" xfId="0" applyNumberFormat="1" applyFont="1">
      <alignment vertical="center"/>
    </xf>
    <xf numFmtId="10" fontId="3" fillId="0" borderId="0" xfId="0" applyNumberFormat="1" applyFont="1">
      <alignment vertical="center"/>
    </xf>
    <xf numFmtId="9" fontId="3" fillId="0" borderId="0" xfId="0" applyNumberFormat="1" applyFont="1">
      <alignment vertical="center"/>
    </xf>
    <xf numFmtId="185" fontId="8" fillId="0" borderId="0" xfId="0" applyNumberFormat="1" applyFont="1" applyAlignment="1">
      <alignment horizontal="center" vertical="center"/>
    </xf>
    <xf numFmtId="0" fontId="12" fillId="0" borderId="0" xfId="0" applyFont="1">
      <alignment vertical="center"/>
    </xf>
    <xf numFmtId="0" fontId="13" fillId="3" borderId="0" xfId="0" applyFont="1" applyFill="1">
      <alignment vertical="center"/>
    </xf>
    <xf numFmtId="176" fontId="12" fillId="0" borderId="1" xfId="0" applyNumberFormat="1" applyFont="1" applyBorder="1">
      <alignment vertical="center"/>
    </xf>
    <xf numFmtId="0" fontId="16" fillId="2" borderId="1" xfId="0" applyFont="1" applyFill="1" applyBorder="1" applyAlignment="1">
      <alignment horizontal="center" vertical="center" wrapText="1"/>
    </xf>
    <xf numFmtId="0" fontId="16" fillId="0" borderId="1" xfId="0" applyFont="1" applyBorder="1" applyAlignment="1">
      <alignment horizontal="center" vertical="center"/>
    </xf>
    <xf numFmtId="0" fontId="15"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2" fillId="4" borderId="1" xfId="0" applyFont="1" applyFill="1" applyBorder="1" applyAlignment="1">
      <alignment horizontal="center" vertical="center"/>
    </xf>
    <xf numFmtId="176" fontId="12" fillId="4" borderId="1" xfId="0" applyNumberFormat="1" applyFont="1" applyFill="1" applyBorder="1">
      <alignment vertical="center"/>
    </xf>
    <xf numFmtId="10" fontId="12" fillId="0" borderId="1" xfId="0" applyNumberFormat="1" applyFont="1" applyBorder="1">
      <alignment vertical="center"/>
    </xf>
    <xf numFmtId="176" fontId="14" fillId="2" borderId="1" xfId="0" applyNumberFormat="1" applyFont="1" applyFill="1" applyBorder="1">
      <alignment vertical="center"/>
    </xf>
    <xf numFmtId="182" fontId="14" fillId="2" borderId="1" xfId="0" applyNumberFormat="1" applyFont="1" applyFill="1" applyBorder="1">
      <alignment vertical="center"/>
    </xf>
    <xf numFmtId="9" fontId="14" fillId="2" borderId="1" xfId="0" applyNumberFormat="1" applyFont="1" applyFill="1" applyBorder="1">
      <alignment vertical="center"/>
    </xf>
    <xf numFmtId="176" fontId="12" fillId="0" borderId="0" xfId="0" applyNumberFormat="1" applyFont="1">
      <alignment vertical="center"/>
    </xf>
    <xf numFmtId="176" fontId="12" fillId="7" borderId="1" xfId="0" applyNumberFormat="1" applyFont="1" applyFill="1" applyBorder="1" applyProtection="1">
      <alignment vertical="center"/>
      <protection locked="0"/>
    </xf>
    <xf numFmtId="176" fontId="12" fillId="0" borderId="15" xfId="0" applyNumberFormat="1" applyFont="1" applyBorder="1">
      <alignment vertical="center"/>
    </xf>
    <xf numFmtId="10" fontId="12" fillId="0" borderId="15" xfId="0" applyNumberFormat="1" applyFont="1" applyBorder="1">
      <alignment vertical="center"/>
    </xf>
    <xf numFmtId="176" fontId="14" fillId="2" borderId="15" xfId="0" applyNumberFormat="1" applyFont="1" applyFill="1" applyBorder="1">
      <alignment vertical="center"/>
    </xf>
    <xf numFmtId="182" fontId="14" fillId="2" borderId="15" xfId="0" applyNumberFormat="1" applyFont="1" applyFill="1" applyBorder="1">
      <alignment vertical="center"/>
    </xf>
    <xf numFmtId="181" fontId="14" fillId="4" borderId="15" xfId="0" applyNumberFormat="1" applyFont="1" applyFill="1" applyBorder="1">
      <alignment vertical="center"/>
    </xf>
    <xf numFmtId="9" fontId="14" fillId="2" borderId="15" xfId="0" applyNumberFormat="1" applyFont="1" applyFill="1" applyBorder="1">
      <alignment vertical="center"/>
    </xf>
    <xf numFmtId="0" fontId="15" fillId="2" borderId="13" xfId="0" applyFont="1" applyFill="1" applyBorder="1" applyAlignment="1">
      <alignment horizontal="center" vertical="center"/>
    </xf>
    <xf numFmtId="0" fontId="15" fillId="2" borderId="13" xfId="0" applyFont="1" applyFill="1" applyBorder="1" applyAlignment="1">
      <alignment horizontal="center" vertical="center" wrapText="1"/>
    </xf>
    <xf numFmtId="14" fontId="9" fillId="7" borderId="1" xfId="0" applyNumberFormat="1" applyFont="1" applyFill="1" applyBorder="1" applyAlignment="1" applyProtection="1">
      <alignment horizontal="center" vertical="center"/>
      <protection locked="0"/>
    </xf>
    <xf numFmtId="0" fontId="23" fillId="0" borderId="0" xfId="0" applyFont="1" applyAlignment="1">
      <alignment horizontal="left" vertical="center" readingOrder="1"/>
    </xf>
    <xf numFmtId="176" fontId="12" fillId="4" borderId="0" xfId="0" applyNumberFormat="1" applyFont="1" applyFill="1">
      <alignment vertical="center"/>
    </xf>
    <xf numFmtId="188" fontId="0" fillId="0" borderId="4" xfId="0" applyNumberFormat="1" applyBorder="1">
      <alignment vertical="center"/>
    </xf>
    <xf numFmtId="188" fontId="0" fillId="0" borderId="12" xfId="0" applyNumberFormat="1" applyBorder="1">
      <alignment vertical="center"/>
    </xf>
    <xf numFmtId="188" fontId="0" fillId="0" borderId="25" xfId="0" applyNumberFormat="1" applyBorder="1">
      <alignment vertical="center"/>
    </xf>
    <xf numFmtId="177" fontId="0" fillId="2" borderId="1" xfId="0" applyNumberFormat="1" applyFill="1" applyBorder="1" applyAlignment="1">
      <alignment vertical="center" wrapText="1"/>
    </xf>
    <xf numFmtId="177" fontId="0" fillId="2" borderId="1" xfId="0" applyNumberFormat="1" applyFill="1" applyBorder="1">
      <alignment vertical="center"/>
    </xf>
    <xf numFmtId="0" fontId="0" fillId="2" borderId="1" xfId="0" applyFill="1" applyBorder="1">
      <alignment vertical="center"/>
    </xf>
    <xf numFmtId="178" fontId="0" fillId="0" borderId="0" xfId="0" applyNumberFormat="1">
      <alignment vertical="center"/>
    </xf>
    <xf numFmtId="0" fontId="0" fillId="2" borderId="24"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178" fontId="0" fillId="0" borderId="15" xfId="0" applyNumberFormat="1" applyBorder="1">
      <alignment vertical="center"/>
    </xf>
    <xf numFmtId="177" fontId="0" fillId="0" borderId="21" xfId="0" applyNumberFormat="1" applyBorder="1">
      <alignment vertical="center"/>
    </xf>
    <xf numFmtId="177" fontId="0" fillId="0" borderId="17" xfId="0" applyNumberFormat="1" applyBorder="1">
      <alignment vertical="center"/>
    </xf>
    <xf numFmtId="178" fontId="0" fillId="0" borderId="18" xfId="0" applyNumberFormat="1" applyBorder="1">
      <alignment vertical="center"/>
    </xf>
    <xf numFmtId="0" fontId="24" fillId="0" borderId="0" xfId="0" applyFont="1" applyAlignment="1">
      <alignment vertical="center" wrapText="1"/>
    </xf>
    <xf numFmtId="0" fontId="27" fillId="2" borderId="0" xfId="0" applyFont="1" applyFill="1" applyAlignment="1">
      <alignment horizontal="center" vertical="center" wrapText="1"/>
    </xf>
    <xf numFmtId="176" fontId="3" fillId="4" borderId="0" xfId="0" applyNumberFormat="1" applyFont="1" applyFill="1">
      <alignment vertical="center"/>
    </xf>
    <xf numFmtId="14" fontId="24" fillId="0" borderId="0" xfId="0" applyNumberFormat="1" applyFont="1">
      <alignment vertical="center"/>
    </xf>
    <xf numFmtId="188" fontId="0" fillId="0" borderId="0" xfId="0" applyNumberFormat="1">
      <alignment vertical="center"/>
    </xf>
    <xf numFmtId="0" fontId="17" fillId="8" borderId="1" xfId="0" applyFont="1" applyFill="1" applyBorder="1" applyAlignment="1">
      <alignment horizontal="center" vertical="center"/>
    </xf>
    <xf numFmtId="0" fontId="17" fillId="8" borderId="20" xfId="0" applyFont="1" applyFill="1" applyBorder="1" applyAlignment="1">
      <alignment horizontal="center" vertical="center"/>
    </xf>
    <xf numFmtId="0" fontId="17" fillId="8" borderId="21" xfId="0" applyFont="1" applyFill="1" applyBorder="1" applyAlignment="1">
      <alignment horizontal="center" vertical="center"/>
    </xf>
    <xf numFmtId="0" fontId="7" fillId="8" borderId="24" xfId="0" applyFont="1" applyFill="1" applyBorder="1" applyAlignment="1">
      <alignment horizontal="center" vertical="center"/>
    </xf>
    <xf numFmtId="14" fontId="0" fillId="0" borderId="14" xfId="0" applyNumberFormat="1" applyBorder="1" applyAlignment="1">
      <alignment horizontal="center" vertical="center"/>
    </xf>
    <xf numFmtId="0" fontId="7" fillId="8" borderId="21" xfId="0" applyFont="1" applyFill="1" applyBorder="1" applyAlignment="1">
      <alignment horizontal="center" vertical="center"/>
    </xf>
    <xf numFmtId="187" fontId="0" fillId="0" borderId="18" xfId="0" applyNumberFormat="1" applyBorder="1" applyAlignment="1">
      <alignment horizontal="center" vertical="center"/>
    </xf>
    <xf numFmtId="177" fontId="0" fillId="0" borderId="20" xfId="0" applyNumberFormat="1" applyBorder="1">
      <alignment vertical="center"/>
    </xf>
    <xf numFmtId="0" fontId="0" fillId="8" borderId="24" xfId="0" applyFill="1" applyBorder="1">
      <alignment vertical="center"/>
    </xf>
    <xf numFmtId="0" fontId="0" fillId="8" borderId="12" xfId="0" applyFill="1" applyBorder="1">
      <alignment vertical="center"/>
    </xf>
    <xf numFmtId="188" fontId="0" fillId="8" borderId="13" xfId="0" applyNumberFormat="1" applyFill="1" applyBorder="1">
      <alignment vertical="center"/>
    </xf>
    <xf numFmtId="188" fontId="0" fillId="8" borderId="14" xfId="0" applyNumberFormat="1" applyFill="1" applyBorder="1">
      <alignment vertical="center"/>
    </xf>
    <xf numFmtId="0" fontId="0" fillId="8" borderId="21" xfId="0" applyFill="1" applyBorder="1">
      <alignment vertical="center"/>
    </xf>
    <xf numFmtId="0" fontId="0" fillId="8" borderId="23" xfId="0" applyFill="1" applyBorder="1">
      <alignment vertical="center"/>
    </xf>
    <xf numFmtId="0" fontId="0" fillId="8" borderId="16" xfId="0" applyFill="1" applyBorder="1">
      <alignment vertical="center"/>
    </xf>
    <xf numFmtId="0" fontId="0" fillId="8" borderId="22" xfId="0" applyFill="1" applyBorder="1">
      <alignment vertical="center"/>
    </xf>
    <xf numFmtId="10" fontId="2" fillId="0" borderId="1" xfId="0" applyNumberFormat="1" applyFont="1" applyBorder="1">
      <alignment vertical="center"/>
    </xf>
    <xf numFmtId="10" fontId="2" fillId="0" borderId="15" xfId="0" applyNumberFormat="1" applyFont="1" applyBorder="1">
      <alignment vertical="center"/>
    </xf>
    <xf numFmtId="177" fontId="2" fillId="0" borderId="1" xfId="0" applyNumberFormat="1" applyFont="1" applyBorder="1">
      <alignment vertical="center"/>
    </xf>
    <xf numFmtId="177" fontId="2" fillId="0" borderId="15" xfId="0" applyNumberFormat="1" applyFont="1" applyBorder="1">
      <alignment vertical="center"/>
    </xf>
    <xf numFmtId="177" fontId="2" fillId="0" borderId="17" xfId="0" applyNumberFormat="1" applyFont="1" applyBorder="1">
      <alignment vertical="center"/>
    </xf>
    <xf numFmtId="177" fontId="2" fillId="0" borderId="18" xfId="0" applyNumberFormat="1" applyFont="1" applyBorder="1">
      <alignment vertical="center"/>
    </xf>
    <xf numFmtId="0" fontId="8" fillId="0" borderId="0" xfId="0" applyFont="1">
      <alignment vertical="center"/>
    </xf>
    <xf numFmtId="179" fontId="8" fillId="0" borderId="0" xfId="0" applyNumberFormat="1" applyFont="1">
      <alignment vertical="center"/>
    </xf>
    <xf numFmtId="184" fontId="8" fillId="0" borderId="0" xfId="0" applyNumberFormat="1" applyFont="1">
      <alignment vertical="center"/>
    </xf>
    <xf numFmtId="0" fontId="0" fillId="0" borderId="25" xfId="0" applyBorder="1" applyAlignment="1">
      <alignment horizontal="center" vertical="center"/>
    </xf>
    <xf numFmtId="177" fontId="0" fillId="7" borderId="16" xfId="0" applyNumberFormat="1" applyFill="1" applyBorder="1">
      <alignment vertical="center"/>
    </xf>
    <xf numFmtId="179" fontId="19" fillId="0" borderId="4" xfId="0" applyNumberFormat="1" applyFont="1" applyBorder="1" applyAlignment="1">
      <alignment horizontal="center" vertical="center"/>
    </xf>
    <xf numFmtId="0" fontId="19" fillId="2" borderId="2" xfId="0" applyFont="1" applyFill="1" applyBorder="1" applyAlignment="1">
      <alignment horizontal="center" vertical="center"/>
    </xf>
    <xf numFmtId="0" fontId="15" fillId="2" borderId="2" xfId="0" applyFont="1" applyFill="1" applyBorder="1" applyAlignment="1">
      <alignment horizontal="center" vertical="center" wrapText="1"/>
    </xf>
    <xf numFmtId="181" fontId="14" fillId="4" borderId="1" xfId="0" applyNumberFormat="1" applyFont="1" applyFill="1" applyBorder="1">
      <alignment vertical="center"/>
    </xf>
    <xf numFmtId="181" fontId="12" fillId="0" borderId="1" xfId="0" applyNumberFormat="1" applyFont="1" applyBorder="1">
      <alignment vertical="center"/>
    </xf>
    <xf numFmtId="181" fontId="12" fillId="0" borderId="15" xfId="0" applyNumberFormat="1" applyFont="1" applyBorder="1">
      <alignment vertical="center"/>
    </xf>
    <xf numFmtId="176" fontId="22" fillId="0" borderId="17" xfId="0" applyNumberFormat="1" applyFont="1" applyBorder="1">
      <alignment vertical="center"/>
    </xf>
    <xf numFmtId="176" fontId="22" fillId="0" borderId="18" xfId="0" applyNumberFormat="1" applyFont="1" applyBorder="1">
      <alignment vertical="center"/>
    </xf>
    <xf numFmtId="0" fontId="3" fillId="2" borderId="1"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7" fillId="8" borderId="15" xfId="0" applyFont="1" applyFill="1" applyBorder="1" applyAlignment="1">
      <alignment horizontal="center" vertical="center" shrinkToFit="1"/>
    </xf>
    <xf numFmtId="177" fontId="0" fillId="0" borderId="18" xfId="0" applyNumberFormat="1" applyBorder="1">
      <alignment vertical="center"/>
    </xf>
    <xf numFmtId="177" fontId="0" fillId="0" borderId="27" xfId="0" applyNumberFormat="1" applyBorder="1">
      <alignment vertical="center"/>
    </xf>
    <xf numFmtId="177" fontId="0" fillId="0" borderId="14" xfId="0" applyNumberFormat="1" applyBorder="1">
      <alignment vertical="center"/>
    </xf>
    <xf numFmtId="177" fontId="0" fillId="0" borderId="15" xfId="0" applyNumberFormat="1" applyBorder="1">
      <alignment vertical="center"/>
    </xf>
    <xf numFmtId="177" fontId="0" fillId="0" borderId="8" xfId="0" applyNumberFormat="1" applyBorder="1">
      <alignment vertical="center"/>
    </xf>
    <xf numFmtId="177" fontId="0" fillId="0" borderId="9" xfId="0" applyNumberFormat="1" applyBorder="1">
      <alignment vertical="center"/>
    </xf>
    <xf numFmtId="177" fontId="0" fillId="0" borderId="29" xfId="0" applyNumberFormat="1" applyBorder="1">
      <alignment vertical="center"/>
    </xf>
    <xf numFmtId="177" fontId="0" fillId="0" borderId="28" xfId="0" applyNumberFormat="1" applyBorder="1">
      <alignment vertical="center"/>
    </xf>
    <xf numFmtId="177" fontId="0" fillId="0" borderId="30" xfId="0" applyNumberFormat="1" applyBorder="1">
      <alignment vertical="center"/>
    </xf>
    <xf numFmtId="0" fontId="19" fillId="2" borderId="20" xfId="0" applyFont="1" applyFill="1" applyBorder="1" applyAlignment="1">
      <alignment horizontal="left" vertical="center"/>
    </xf>
    <xf numFmtId="0" fontId="19" fillId="2" borderId="1" xfId="0" applyFont="1" applyFill="1" applyBorder="1" applyAlignment="1">
      <alignment horizontal="left" vertical="center"/>
    </xf>
    <xf numFmtId="0" fontId="21" fillId="2" borderId="21" xfId="0" applyFont="1" applyFill="1" applyBorder="1" applyAlignment="1">
      <alignment horizontal="left" vertical="center"/>
    </xf>
    <xf numFmtId="0" fontId="21" fillId="2" borderId="17" xfId="0" applyFont="1" applyFill="1" applyBorder="1" applyAlignment="1">
      <alignment horizontal="left" vertical="center"/>
    </xf>
    <xf numFmtId="0" fontId="19" fillId="2" borderId="20"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20" fillId="2" borderId="20" xfId="0" applyFont="1" applyFill="1" applyBorder="1" applyAlignment="1">
      <alignment horizontal="center" vertical="center"/>
    </xf>
    <xf numFmtId="0" fontId="20" fillId="2" borderId="1" xfId="0" applyFont="1" applyFill="1" applyBorder="1" applyAlignment="1">
      <alignment horizontal="center" vertical="center" wrapText="1"/>
    </xf>
    <xf numFmtId="0" fontId="19" fillId="7" borderId="6" xfId="0" applyFont="1" applyFill="1" applyBorder="1" applyAlignment="1" applyProtection="1">
      <alignment horizontal="center" vertical="center"/>
      <protection locked="0"/>
    </xf>
    <xf numFmtId="0" fontId="19" fillId="7" borderId="0" xfId="0" applyFont="1" applyFill="1" applyAlignment="1" applyProtection="1">
      <alignment horizontal="center" vertical="center"/>
      <protection locked="0"/>
    </xf>
    <xf numFmtId="184" fontId="11" fillId="5" borderId="0" xfId="0" applyNumberFormat="1" applyFont="1" applyFill="1" applyAlignment="1">
      <alignment horizontal="center" vertical="center"/>
    </xf>
    <xf numFmtId="185" fontId="8" fillId="0" borderId="0" xfId="0" applyNumberFormat="1" applyFont="1" applyAlignment="1">
      <alignment horizontal="center" vertical="center"/>
    </xf>
    <xf numFmtId="179" fontId="19" fillId="0" borderId="4" xfId="0" applyNumberFormat="1" applyFont="1" applyBorder="1" applyAlignment="1">
      <alignment horizontal="center" vertical="center"/>
    </xf>
    <xf numFmtId="179" fontId="19" fillId="0" borderId="1" xfId="0" applyNumberFormat="1" applyFont="1" applyBorder="1" applyAlignment="1">
      <alignment horizontal="center" vertical="center"/>
    </xf>
    <xf numFmtId="0" fontId="19" fillId="2" borderId="24" xfId="0" applyFont="1" applyFill="1" applyBorder="1" applyAlignment="1">
      <alignment horizontal="center" vertical="center"/>
    </xf>
    <xf numFmtId="0" fontId="19" fillId="2" borderId="13"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186" fontId="16" fillId="8" borderId="10" xfId="0" applyNumberFormat="1" applyFont="1" applyFill="1" applyBorder="1" applyAlignment="1">
      <alignment horizontal="right" vertical="center"/>
    </xf>
    <xf numFmtId="186" fontId="16" fillId="8" borderId="11" xfId="0" applyNumberFormat="1" applyFont="1" applyFill="1" applyBorder="1" applyAlignment="1">
      <alignment horizontal="right" vertical="center"/>
    </xf>
    <xf numFmtId="14" fontId="16" fillId="8" borderId="11" xfId="0" applyNumberFormat="1" applyFont="1" applyFill="1" applyBorder="1" applyAlignment="1">
      <alignment horizontal="left" vertical="center"/>
    </xf>
    <xf numFmtId="14" fontId="16" fillId="8" borderId="19" xfId="0" applyNumberFormat="1" applyFont="1" applyFill="1" applyBorder="1" applyAlignment="1">
      <alignment horizontal="left" vertical="center"/>
    </xf>
    <xf numFmtId="0" fontId="0" fillId="8" borderId="16" xfId="0" applyFill="1" applyBorder="1" applyAlignment="1">
      <alignment vertical="center" wrapText="1"/>
    </xf>
    <xf numFmtId="0" fontId="0" fillId="2" borderId="26"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0" xfId="0" applyFont="1" applyAlignment="1">
      <alignment horizontal="right" vertical="center"/>
    </xf>
    <xf numFmtId="0" fontId="7" fillId="6" borderId="1" xfId="0" applyFont="1" applyFill="1" applyBorder="1" applyAlignment="1">
      <alignment horizontal="center" vertical="center"/>
    </xf>
    <xf numFmtId="5" fontId="7" fillId="6" borderId="1" xfId="0" applyNumberFormat="1" applyFont="1" applyFill="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cellXfs>
  <cellStyles count="1">
    <cellStyle name="標準" xfId="0" builtinId="0"/>
  </cellStyles>
  <dxfs count="51">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ont>
        <color theme="1"/>
      </font>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ont>
        <color theme="1"/>
      </font>
      <fill>
        <patternFill>
          <bgColor rgb="FFFFC7CE"/>
        </patternFill>
      </fill>
    </dxf>
    <dxf>
      <font>
        <color theme="1"/>
      </font>
      <fill>
        <patternFill>
          <bgColor rgb="FFFFC7CE"/>
        </patternFill>
      </fill>
    </dxf>
    <dxf>
      <fill>
        <patternFill>
          <bgColor rgb="FFFFC7CE"/>
        </patternFill>
      </fill>
    </dxf>
    <dxf>
      <fill>
        <patternFill>
          <bgColor rgb="FFFFC7CE"/>
        </patternFill>
      </fill>
    </dxf>
    <dxf>
      <font>
        <color theme="1"/>
      </font>
      <fill>
        <patternFill>
          <bgColor rgb="FFFFC7CE"/>
        </patternFill>
      </fill>
    </dxf>
    <dxf>
      <font>
        <color theme="1"/>
      </font>
      <fill>
        <patternFill>
          <bgColor rgb="FFFFC7CE"/>
        </patternFill>
      </fill>
    </dxf>
    <dxf>
      <fill>
        <patternFill>
          <bgColor rgb="FFFFC7CE"/>
        </patternFill>
      </fill>
    </dxf>
    <dxf>
      <fill>
        <patternFill>
          <bgColor rgb="FFFFC7CE"/>
        </patternFill>
      </fill>
    </dxf>
    <dxf>
      <font>
        <color theme="1"/>
      </font>
      <fill>
        <patternFill>
          <bgColor rgb="FFFFC7CE"/>
        </patternFill>
      </fill>
    </dxf>
    <dxf>
      <font>
        <color theme="1"/>
      </font>
      <fill>
        <patternFill>
          <bgColor rgb="FFFFC7CE"/>
        </patternFill>
      </fill>
    </dxf>
    <dxf>
      <fill>
        <patternFill>
          <bgColor rgb="FFFFC7CE"/>
        </patternFill>
      </fill>
    </dxf>
    <dxf>
      <fill>
        <patternFill>
          <bgColor rgb="FFFFC7CE"/>
        </patternFill>
      </fill>
    </dxf>
    <dxf>
      <font>
        <color theme="1"/>
      </font>
      <fill>
        <patternFill>
          <bgColor rgb="FFFFC7CE"/>
        </patternFill>
      </fill>
    </dxf>
    <dxf>
      <font>
        <color theme="1"/>
      </font>
      <fill>
        <patternFill>
          <bgColor rgb="FFFFC7CE"/>
        </patternFill>
      </fill>
    </dxf>
    <dxf>
      <font>
        <strike/>
      </font>
      <fill>
        <patternFill>
          <bgColor theme="0" tint="-0.24994659260841701"/>
        </patternFill>
      </fill>
    </dxf>
  </dxfs>
  <tableStyles count="0" defaultTableStyle="TableStyleMedium2" defaultPivotStyle="PivotStyleLight16"/>
  <colors>
    <mruColors>
      <color rgb="FF66FFFF"/>
      <color rgb="FFFFC7CE"/>
      <color rgb="FFFF8F8F"/>
      <color rgb="FFFF9999"/>
      <color rgb="FFCCFFCC"/>
      <color rgb="FFFFFF99"/>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100853</xdr:rowOff>
    </xdr:from>
    <xdr:to>
      <xdr:col>11</xdr:col>
      <xdr:colOff>358587</xdr:colOff>
      <xdr:row>17</xdr:row>
      <xdr:rowOff>77051</xdr:rowOff>
    </xdr:to>
    <xdr:pic>
      <xdr:nvPicPr>
        <xdr:cNvPr id="47" name="図 46">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1294"/>
          <a:ext cx="7877734" cy="1993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257175</xdr:colOff>
      <xdr:row>9</xdr:row>
      <xdr:rowOff>9525</xdr:rowOff>
    </xdr:from>
    <xdr:to>
      <xdr:col>2</xdr:col>
      <xdr:colOff>428625</xdr:colOff>
      <xdr:row>17</xdr:row>
      <xdr:rowOff>85725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942975" y="1552575"/>
          <a:ext cx="857250" cy="144780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155762</xdr:colOff>
      <xdr:row>8</xdr:row>
      <xdr:rowOff>152400</xdr:rowOff>
    </xdr:from>
    <xdr:to>
      <xdr:col>9</xdr:col>
      <xdr:colOff>260537</xdr:colOff>
      <xdr:row>17</xdr:row>
      <xdr:rowOff>95250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5624233" y="1497106"/>
          <a:ext cx="788333" cy="145564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644338</xdr:colOff>
      <xdr:row>8</xdr:row>
      <xdr:rowOff>161924</xdr:rowOff>
    </xdr:from>
    <xdr:to>
      <xdr:col>7</xdr:col>
      <xdr:colOff>34738</xdr:colOff>
      <xdr:row>17</xdr:row>
      <xdr:rowOff>104775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4062132" y="1506630"/>
          <a:ext cx="757518" cy="145564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504824</xdr:colOff>
      <xdr:row>8</xdr:row>
      <xdr:rowOff>152399</xdr:rowOff>
    </xdr:from>
    <xdr:to>
      <xdr:col>4</xdr:col>
      <xdr:colOff>609599</xdr:colOff>
      <xdr:row>17</xdr:row>
      <xdr:rowOff>95250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2562224" y="1523999"/>
          <a:ext cx="790575" cy="148590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508747</xdr:colOff>
      <xdr:row>7</xdr:row>
      <xdr:rowOff>38100</xdr:rowOff>
    </xdr:from>
    <xdr:to>
      <xdr:col>9</xdr:col>
      <xdr:colOff>299198</xdr:colOff>
      <xdr:row>8</xdr:row>
      <xdr:rowOff>57150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2559423" y="1214718"/>
          <a:ext cx="3891804" cy="18713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238124</xdr:colOff>
      <xdr:row>6</xdr:row>
      <xdr:rowOff>85725</xdr:rowOff>
    </xdr:from>
    <xdr:to>
      <xdr:col>9</xdr:col>
      <xdr:colOff>619125</xdr:colOff>
      <xdr:row>8</xdr:row>
      <xdr:rowOff>114300</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6410324" y="1114425"/>
          <a:ext cx="381001" cy="371475"/>
        </a:xfrm>
        <a:prstGeom prst="rect">
          <a:avLst/>
        </a:prstGeom>
        <a:solidFill>
          <a:schemeClr val="bg1">
            <a:lumMod val="85000"/>
            <a:alpha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rPr>
            <a:t>①</a:t>
          </a:r>
        </a:p>
      </xdr:txBody>
    </xdr:sp>
    <xdr:clientData/>
  </xdr:twoCellAnchor>
  <xdr:twoCellAnchor>
    <xdr:from>
      <xdr:col>6</xdr:col>
      <xdr:colOff>188819</xdr:colOff>
      <xdr:row>18</xdr:row>
      <xdr:rowOff>47625</xdr:rowOff>
    </xdr:from>
    <xdr:to>
      <xdr:col>6</xdr:col>
      <xdr:colOff>560294</xdr:colOff>
      <xdr:row>20</xdr:row>
      <xdr:rowOff>76200</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4303619" y="3133725"/>
          <a:ext cx="371475" cy="371475"/>
        </a:xfrm>
        <a:prstGeom prst="rect">
          <a:avLst/>
        </a:prstGeom>
        <a:solidFill>
          <a:schemeClr val="bg1">
            <a:lumMod val="85000"/>
            <a:alpha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rPr>
            <a:t>③</a:t>
          </a:r>
        </a:p>
      </xdr:txBody>
    </xdr:sp>
    <xdr:clientData/>
  </xdr:twoCellAnchor>
  <xdr:twoCellAnchor>
    <xdr:from>
      <xdr:col>1</xdr:col>
      <xdr:colOff>476249</xdr:colOff>
      <xdr:row>12</xdr:row>
      <xdr:rowOff>47625</xdr:rowOff>
    </xdr:from>
    <xdr:to>
      <xdr:col>2</xdr:col>
      <xdr:colOff>171450</xdr:colOff>
      <xdr:row>14</xdr:row>
      <xdr:rowOff>76200</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162049" y="2105025"/>
          <a:ext cx="381001" cy="371475"/>
        </a:xfrm>
        <a:prstGeom prst="rect">
          <a:avLst/>
        </a:prstGeom>
        <a:solidFill>
          <a:schemeClr val="bg1">
            <a:lumMod val="85000"/>
            <a:alpha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rPr>
            <a:t>②</a:t>
          </a:r>
        </a:p>
      </xdr:txBody>
    </xdr:sp>
    <xdr:clientData/>
  </xdr:twoCellAnchor>
  <xdr:twoCellAnchor>
    <xdr:from>
      <xdr:col>3</xdr:col>
      <xdr:colOff>509587</xdr:colOff>
      <xdr:row>17</xdr:row>
      <xdr:rowOff>100009</xdr:rowOff>
    </xdr:from>
    <xdr:to>
      <xdr:col>9</xdr:col>
      <xdr:colOff>247650</xdr:colOff>
      <xdr:row>18</xdr:row>
      <xdr:rowOff>85724</xdr:rowOff>
    </xdr:to>
    <xdr:sp macro="" textlink="">
      <xdr:nvSpPr>
        <xdr:cNvPr id="19" name="左中かっこ 18">
          <a:extLst>
            <a:ext uri="{FF2B5EF4-FFF2-40B4-BE49-F238E27FC236}">
              <a16:creationId xmlns:a16="http://schemas.microsoft.com/office/drawing/2014/main" id="{00000000-0008-0000-0000-000013000000}"/>
            </a:ext>
          </a:extLst>
        </xdr:cNvPr>
        <xdr:cNvSpPr/>
      </xdr:nvSpPr>
      <xdr:spPr>
        <a:xfrm rot="16200000">
          <a:off x="4414836" y="1166810"/>
          <a:ext cx="157165" cy="3852863"/>
        </a:xfrm>
        <a:prstGeom prst="leftBrace">
          <a:avLst>
            <a:gd name="adj1" fmla="val 57408"/>
            <a:gd name="adj2" fmla="val 50000"/>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53577</xdr:colOff>
      <xdr:row>20</xdr:row>
      <xdr:rowOff>92868</xdr:rowOff>
    </xdr:from>
    <xdr:to>
      <xdr:col>12</xdr:col>
      <xdr:colOff>201706</xdr:colOff>
      <xdr:row>51</xdr:row>
      <xdr:rowOff>78441</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53577" y="3454633"/>
          <a:ext cx="8350835" cy="51963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latin typeface="HG丸ｺﾞｼｯｸM-PRO" panose="020F0600000000000000" pitchFamily="50" charset="-128"/>
              <a:ea typeface="HG丸ｺﾞｼｯｸM-PRO" panose="020F0600000000000000" pitchFamily="50" charset="-128"/>
            </a:rPr>
            <a:t>【</a:t>
          </a:r>
          <a:r>
            <a:rPr kumimoji="1" lang="ja-JP" altLang="en-US" sz="1800">
              <a:latin typeface="HG丸ｺﾞｼｯｸM-PRO" panose="020F0600000000000000" pitchFamily="50" charset="-128"/>
              <a:ea typeface="HG丸ｺﾞｼｯｸM-PRO" panose="020F0600000000000000" pitchFamily="50" charset="-128"/>
            </a:rPr>
            <a:t>使い方</a:t>
          </a:r>
          <a:r>
            <a:rPr kumimoji="1" lang="en-US" altLang="ja-JP" sz="1800">
              <a:latin typeface="HG丸ｺﾞｼｯｸM-PRO" panose="020F0600000000000000" pitchFamily="50" charset="-128"/>
              <a:ea typeface="HG丸ｺﾞｼｯｸM-PRO" panose="020F0600000000000000" pitchFamily="50" charset="-128"/>
            </a:rPr>
            <a:t>】</a:t>
          </a:r>
        </a:p>
        <a:p>
          <a:r>
            <a:rPr kumimoji="1" lang="ja-JP" altLang="en-US" sz="1600">
              <a:latin typeface="HG丸ｺﾞｼｯｸM-PRO" panose="020F0600000000000000" pitchFamily="50" charset="-128"/>
              <a:ea typeface="HG丸ｺﾞｼｯｸM-PRO" panose="020F0600000000000000" pitchFamily="50" charset="-128"/>
            </a:rPr>
            <a:t>①世帯主の国民健康保険への加入の有無を選択</a:t>
          </a:r>
          <a:endParaRPr kumimoji="1" lang="en-US" altLang="ja-JP" sz="1600">
            <a:latin typeface="HG丸ｺﾞｼｯｸM-PRO" panose="020F0600000000000000" pitchFamily="50" charset="-128"/>
            <a:ea typeface="HG丸ｺﾞｼｯｸM-PRO" panose="020F0600000000000000" pitchFamily="50" charset="-128"/>
          </a:endParaRPr>
        </a:p>
        <a:p>
          <a:r>
            <a:rPr kumimoji="1" lang="ja-JP" altLang="en-US" sz="1600">
              <a:latin typeface="HG丸ｺﾞｼｯｸM-PRO" panose="020F0600000000000000" pitchFamily="50" charset="-128"/>
              <a:ea typeface="HG丸ｺﾞｼｯｸM-PRO" panose="020F0600000000000000" pitchFamily="50" charset="-128"/>
            </a:rPr>
            <a:t>②世帯主、国民健康保険に加入する人の生年月日を入力</a:t>
          </a:r>
          <a:endParaRPr kumimoji="1" lang="en-US" altLang="ja-JP" sz="1600">
            <a:latin typeface="HG丸ｺﾞｼｯｸM-PRO" panose="020F0600000000000000" pitchFamily="50" charset="-128"/>
            <a:ea typeface="HG丸ｺﾞｼｯｸM-PRO" panose="020F0600000000000000" pitchFamily="50" charset="-128"/>
          </a:endParaRPr>
        </a:p>
        <a:p>
          <a:r>
            <a:rPr kumimoji="1" lang="ja-JP" altLang="en-US" sz="1600">
              <a:latin typeface="HG丸ｺﾞｼｯｸM-PRO" panose="020F0600000000000000" pitchFamily="50" charset="-128"/>
              <a:ea typeface="HG丸ｺﾞｼｯｸM-PRO" panose="020F0600000000000000" pitchFamily="50" charset="-128"/>
            </a:rPr>
            <a:t>③世帯主、国民健康保険に加入する人の</a:t>
          </a:r>
          <a:r>
            <a:rPr kumimoji="1" lang="ja-JP" altLang="en-US" sz="1600">
              <a:solidFill>
                <a:srgbClr val="FF0000"/>
              </a:solidFill>
              <a:latin typeface="HG丸ｺﾞｼｯｸM-PRO" panose="020F0600000000000000" pitchFamily="50" charset="-128"/>
              <a:ea typeface="HG丸ｺﾞｼｯｸM-PRO" panose="020F0600000000000000" pitchFamily="50" charset="-128"/>
            </a:rPr>
            <a:t>令和</a:t>
          </a:r>
          <a:r>
            <a:rPr kumimoji="1" lang="en-US" altLang="ja-JP" sz="1600">
              <a:solidFill>
                <a:srgbClr val="FF0000"/>
              </a:solidFill>
              <a:latin typeface="HG丸ｺﾞｼｯｸM-PRO" panose="020F0600000000000000" pitchFamily="50" charset="-128"/>
              <a:ea typeface="HG丸ｺﾞｼｯｸM-PRO" panose="020F0600000000000000" pitchFamily="50" charset="-128"/>
            </a:rPr>
            <a:t>7</a:t>
          </a:r>
          <a:r>
            <a:rPr kumimoji="1" lang="ja-JP" altLang="en-US" sz="1600">
              <a:solidFill>
                <a:srgbClr val="FF0000"/>
              </a:solidFill>
              <a:latin typeface="HG丸ｺﾞｼｯｸM-PRO" panose="020F0600000000000000" pitchFamily="50" charset="-128"/>
              <a:ea typeface="HG丸ｺﾞｼｯｸM-PRO" panose="020F0600000000000000" pitchFamily="50" charset="-128"/>
            </a:rPr>
            <a:t>年中</a:t>
          </a:r>
          <a:r>
            <a:rPr kumimoji="1" lang="ja-JP" altLang="en-US" sz="1600">
              <a:latin typeface="HG丸ｺﾞｼｯｸM-PRO" panose="020F0600000000000000" pitchFamily="50" charset="-128"/>
              <a:ea typeface="HG丸ｺﾞｼｯｸM-PRO" panose="020F0600000000000000" pitchFamily="50" charset="-128"/>
            </a:rPr>
            <a:t>の収入・所得を入力</a:t>
          </a:r>
          <a:endParaRPr kumimoji="1" lang="en-US" altLang="ja-JP" sz="1600">
            <a:latin typeface="HG丸ｺﾞｼｯｸM-PRO" panose="020F0600000000000000" pitchFamily="50" charset="-128"/>
            <a:ea typeface="HG丸ｺﾞｼｯｸM-PRO" panose="020F0600000000000000" pitchFamily="50" charset="-128"/>
          </a:endParaRPr>
        </a:p>
        <a:p>
          <a:endParaRPr kumimoji="1" lang="en-US" altLang="ja-JP" sz="1200">
            <a:latin typeface="HG丸ｺﾞｼｯｸM-PRO" panose="020F0600000000000000" pitchFamily="50" charset="-128"/>
            <a:ea typeface="HG丸ｺﾞｼｯｸM-PRO" panose="020F0600000000000000"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4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入力項目の説明</a:t>
          </a:r>
          <a:r>
            <a:rPr kumimoji="1" lang="en-US" altLang="ja-JP" sz="1400">
              <a:solidFill>
                <a:schemeClr val="dk1"/>
              </a:solidFill>
              <a:effectLst/>
              <a:latin typeface="HG丸ｺﾞｼｯｸM-PRO" panose="020F0600000000000000" pitchFamily="50" charset="-128"/>
              <a:ea typeface="HG丸ｺﾞｼｯｸM-PRO" panose="020F0600000000000000" pitchFamily="50" charset="-128"/>
              <a:cs typeface="+mn-cs"/>
            </a:rPr>
            <a:t>】</a:t>
          </a: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200" u="sng">
              <a:solidFill>
                <a:schemeClr val="dk1"/>
              </a:solidFill>
              <a:effectLst/>
              <a:latin typeface="HG丸ｺﾞｼｯｸM-PRO" panose="020F0600000000000000" pitchFamily="50" charset="-128"/>
              <a:ea typeface="HG丸ｺﾞｼｯｸM-PRO" panose="020F0600000000000000" pitchFamily="50" charset="-128"/>
              <a:cs typeface="+mn-cs"/>
            </a:rPr>
            <a:t>〇給与収入</a:t>
          </a:r>
          <a:endParaRPr kumimoji="1" lang="en-US" altLang="ja-JP" sz="1200" u="sng">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200">
              <a:solidFill>
                <a:srgbClr val="FF0000"/>
              </a:solidFill>
              <a:effectLst/>
              <a:latin typeface="HG丸ｺﾞｼｯｸM-PRO" panose="020F0600000000000000" pitchFamily="50" charset="-128"/>
              <a:ea typeface="HG丸ｺﾞｼｯｸM-PRO" panose="020F0600000000000000" pitchFamily="50" charset="-128"/>
              <a:cs typeface="+mn-cs"/>
            </a:rPr>
            <a:t>令和</a:t>
          </a:r>
          <a:r>
            <a:rPr kumimoji="1" lang="en-US" altLang="ja-JP" sz="1200">
              <a:solidFill>
                <a:srgbClr val="FF0000"/>
              </a:solidFill>
              <a:effectLst/>
              <a:latin typeface="HG丸ｺﾞｼｯｸM-PRO" panose="020F0600000000000000" pitchFamily="50" charset="-128"/>
              <a:ea typeface="HG丸ｺﾞｼｯｸM-PRO" panose="020F0600000000000000" pitchFamily="50" charset="-128"/>
              <a:cs typeface="+mn-cs"/>
            </a:rPr>
            <a:t>7</a:t>
          </a:r>
          <a:r>
            <a:rPr kumimoji="1" lang="ja-JP" altLang="en-US" sz="1200">
              <a:solidFill>
                <a:srgbClr val="FF0000"/>
              </a:solidFill>
              <a:effectLst/>
              <a:latin typeface="HG丸ｺﾞｼｯｸM-PRO" panose="020F0600000000000000" pitchFamily="50" charset="-128"/>
              <a:ea typeface="HG丸ｺﾞｼｯｸM-PRO" panose="020F0600000000000000" pitchFamily="50" charset="-128"/>
              <a:cs typeface="+mn-cs"/>
            </a:rPr>
            <a:t>年</a:t>
          </a:r>
          <a:r>
            <a:rPr kumimoji="1" lang="en-US" altLang="ja-JP" sz="1200">
              <a:solidFill>
                <a:srgbClr val="FF0000"/>
              </a:solidFill>
              <a:effectLst/>
              <a:latin typeface="HG丸ｺﾞｼｯｸM-PRO" panose="020F0600000000000000" pitchFamily="50" charset="-128"/>
              <a:ea typeface="HG丸ｺﾞｼｯｸM-PRO" panose="020F0600000000000000" pitchFamily="50" charset="-128"/>
              <a:cs typeface="+mn-cs"/>
            </a:rPr>
            <a:t>1</a:t>
          </a:r>
          <a:r>
            <a:rPr kumimoji="1" lang="ja-JP" altLang="en-US" sz="1200">
              <a:solidFill>
                <a:srgbClr val="FF0000"/>
              </a:solidFill>
              <a:effectLst/>
              <a:latin typeface="HG丸ｺﾞｼｯｸM-PRO" panose="020F0600000000000000" pitchFamily="50" charset="-128"/>
              <a:ea typeface="HG丸ｺﾞｼｯｸM-PRO" panose="020F0600000000000000" pitchFamily="50" charset="-128"/>
              <a:cs typeface="+mn-cs"/>
            </a:rPr>
            <a:t>月～</a:t>
          </a:r>
          <a:r>
            <a:rPr kumimoji="1" lang="en-US" altLang="ja-JP" sz="1200">
              <a:solidFill>
                <a:srgbClr val="FF0000"/>
              </a:solidFill>
              <a:effectLst/>
              <a:latin typeface="HG丸ｺﾞｼｯｸM-PRO" panose="020F0600000000000000" pitchFamily="50" charset="-128"/>
              <a:ea typeface="HG丸ｺﾞｼｯｸM-PRO" panose="020F0600000000000000" pitchFamily="50" charset="-128"/>
              <a:cs typeface="+mn-cs"/>
            </a:rPr>
            <a:t>12</a:t>
          </a:r>
          <a:r>
            <a:rPr kumimoji="1" lang="ja-JP" altLang="en-US" sz="1200">
              <a:solidFill>
                <a:srgbClr val="FF0000"/>
              </a:solidFill>
              <a:effectLst/>
              <a:latin typeface="HG丸ｺﾞｼｯｸM-PRO" panose="020F0600000000000000" pitchFamily="50" charset="-128"/>
              <a:ea typeface="HG丸ｺﾞｼｯｸM-PRO" panose="020F0600000000000000" pitchFamily="50" charset="-128"/>
              <a:cs typeface="+mn-cs"/>
            </a:rPr>
            <a:t>月</a:t>
          </a: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までの給与収入額を入力してください。</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確定申告書の控をお持ちの方は、「収入金額等　給与」欄に記載されている金額をご確認ください（資料１）。</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HG丸ｺﾞｼｯｸM-PRO" panose="020F0600000000000000" pitchFamily="50" charset="-128"/>
              <a:ea typeface="HG丸ｺﾞｼｯｸM-PRO" panose="020F0600000000000000" pitchFamily="50" charset="-128"/>
            </a:rPr>
            <a:t>給与所得の源泉徴収票をお持ちの方は、「支払金額」欄に記載されている金額をご確認ください（資料２）。</a:t>
          </a:r>
          <a:endParaRPr lang="en-US" altLang="ja-JP" sz="1200">
            <a:effectLst/>
            <a:latin typeface="HG丸ｺﾞｼｯｸM-PRO" panose="020F0600000000000000" pitchFamily="50" charset="-128"/>
            <a:ea typeface="HG丸ｺﾞｼｯｸM-PRO" panose="020F0600000000000000" pitchFamily="50" charset="-128"/>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200">
            <a:effectLst/>
            <a:latin typeface="HG丸ｺﾞｼｯｸM-PRO" panose="020F0600000000000000" pitchFamily="50" charset="-128"/>
            <a:ea typeface="HG丸ｺﾞｼｯｸM-PRO" panose="020F0600000000000000"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200" u="sng">
              <a:effectLst/>
              <a:latin typeface="HG丸ｺﾞｼｯｸM-PRO" panose="020F0600000000000000" pitchFamily="50" charset="-128"/>
              <a:ea typeface="HG丸ｺﾞｼｯｸM-PRO" panose="020F0600000000000000" pitchFamily="50" charset="-128"/>
            </a:rPr>
            <a:t>〇公的年金等収入</a:t>
          </a:r>
          <a:endParaRPr lang="ja-JP" altLang="ja-JP" sz="1200" u="sng">
            <a:effectLst/>
            <a:latin typeface="HG丸ｺﾞｼｯｸM-PRO" panose="020F0600000000000000" pitchFamily="50" charset="-128"/>
            <a:ea typeface="HG丸ｺﾞｼｯｸM-PRO" panose="020F0600000000000000" pitchFamily="50" charset="-128"/>
          </a:endParaRPr>
        </a:p>
        <a:p>
          <a:r>
            <a:rPr kumimoji="1" lang="ja-JP" altLang="en-US" sz="1200">
              <a:solidFill>
                <a:srgbClr val="FF0000"/>
              </a:solidFill>
              <a:latin typeface="HG丸ｺﾞｼｯｸM-PRO" panose="020F0600000000000000" pitchFamily="50" charset="-128"/>
              <a:ea typeface="HG丸ｺﾞｼｯｸM-PRO" panose="020F0600000000000000" pitchFamily="50" charset="-128"/>
            </a:rPr>
            <a:t>令和</a:t>
          </a:r>
          <a:r>
            <a:rPr kumimoji="1" lang="en-US" altLang="ja-JP" sz="1200">
              <a:solidFill>
                <a:srgbClr val="FF0000"/>
              </a:solidFill>
              <a:latin typeface="HG丸ｺﾞｼｯｸM-PRO" panose="020F0600000000000000" pitchFamily="50" charset="-128"/>
              <a:ea typeface="HG丸ｺﾞｼｯｸM-PRO" panose="020F0600000000000000" pitchFamily="50" charset="-128"/>
            </a:rPr>
            <a:t>7</a:t>
          </a:r>
          <a:r>
            <a:rPr kumimoji="1" lang="ja-JP" altLang="en-US" sz="1200">
              <a:solidFill>
                <a:srgbClr val="FF0000"/>
              </a:solidFill>
              <a:latin typeface="HG丸ｺﾞｼｯｸM-PRO" panose="020F0600000000000000" pitchFamily="50" charset="-128"/>
              <a:ea typeface="HG丸ｺﾞｼｯｸM-PRO" panose="020F0600000000000000" pitchFamily="50" charset="-128"/>
            </a:rPr>
            <a:t>年</a:t>
          </a:r>
          <a:r>
            <a:rPr kumimoji="1" lang="en-US" altLang="ja-JP" sz="1200">
              <a:solidFill>
                <a:srgbClr val="FF0000"/>
              </a:solidFill>
              <a:latin typeface="HG丸ｺﾞｼｯｸM-PRO" panose="020F0600000000000000" pitchFamily="50" charset="-128"/>
              <a:ea typeface="HG丸ｺﾞｼｯｸM-PRO" panose="020F0600000000000000" pitchFamily="50" charset="-128"/>
            </a:rPr>
            <a:t>1</a:t>
          </a:r>
          <a:r>
            <a:rPr kumimoji="1" lang="ja-JP" altLang="en-US" sz="1200">
              <a:solidFill>
                <a:srgbClr val="FF0000"/>
              </a:solidFill>
              <a:latin typeface="HG丸ｺﾞｼｯｸM-PRO" panose="020F0600000000000000" pitchFamily="50" charset="-128"/>
              <a:ea typeface="HG丸ｺﾞｼｯｸM-PRO" panose="020F0600000000000000" pitchFamily="50" charset="-128"/>
            </a:rPr>
            <a:t>月～</a:t>
          </a:r>
          <a:r>
            <a:rPr kumimoji="1" lang="en-US" altLang="ja-JP" sz="1200">
              <a:solidFill>
                <a:srgbClr val="FF0000"/>
              </a:solidFill>
              <a:latin typeface="HG丸ｺﾞｼｯｸM-PRO" panose="020F0600000000000000" pitchFamily="50" charset="-128"/>
              <a:ea typeface="HG丸ｺﾞｼｯｸM-PRO" panose="020F0600000000000000" pitchFamily="50" charset="-128"/>
            </a:rPr>
            <a:t>12</a:t>
          </a:r>
          <a:r>
            <a:rPr kumimoji="1" lang="ja-JP" altLang="en-US" sz="1200">
              <a:solidFill>
                <a:srgbClr val="FF0000"/>
              </a:solidFill>
              <a:latin typeface="HG丸ｺﾞｼｯｸM-PRO" panose="020F0600000000000000" pitchFamily="50" charset="-128"/>
              <a:ea typeface="HG丸ｺﾞｼｯｸM-PRO" panose="020F0600000000000000" pitchFamily="50" charset="-128"/>
            </a:rPr>
            <a:t>月</a:t>
          </a:r>
          <a:r>
            <a:rPr kumimoji="1" lang="ja-JP" altLang="en-US" sz="1200">
              <a:latin typeface="HG丸ｺﾞｼｯｸM-PRO" panose="020F0600000000000000" pitchFamily="50" charset="-128"/>
              <a:ea typeface="HG丸ｺﾞｼｯｸM-PRO" panose="020F0600000000000000" pitchFamily="50" charset="-128"/>
            </a:rPr>
            <a:t>までの公的年金収入額（障害年金や遺族年金を除く）を入力してください。</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公的年金等の源泉徴収票をお持ちの方は、「支払金額」欄に記載されている金額をご確認ください（資料３）。</a:t>
          </a:r>
          <a:endParaRPr kumimoji="1" lang="en-US" altLang="ja-JP" sz="1200">
            <a:latin typeface="HG丸ｺﾞｼｯｸM-PRO" panose="020F0600000000000000" pitchFamily="50" charset="-128"/>
            <a:ea typeface="HG丸ｺﾞｼｯｸM-PRO" panose="020F0600000000000000" pitchFamily="50" charset="-128"/>
          </a:endParaRPr>
        </a:p>
        <a:p>
          <a:endParaRPr kumimoji="1" lang="en-US" altLang="ja-JP" sz="1400">
            <a:latin typeface="HG丸ｺﾞｼｯｸM-PRO" panose="020F0600000000000000" pitchFamily="50" charset="-128"/>
            <a:ea typeface="HG丸ｺﾞｼｯｸM-PRO" panose="020F0600000000000000" pitchFamily="50" charset="-128"/>
          </a:endParaRPr>
        </a:p>
        <a:p>
          <a:pPr eaLnBrk="1" fontAlgn="auto" latinLnBrk="0" hangingPunct="1"/>
          <a:r>
            <a:rPr lang="ja-JP" altLang="ja-JP" sz="1200" u="sng">
              <a:solidFill>
                <a:schemeClr val="dk1"/>
              </a:solidFill>
              <a:effectLst/>
              <a:latin typeface="HG丸ｺﾞｼｯｸM-PRO" panose="020F0600000000000000" pitchFamily="50" charset="-128"/>
              <a:ea typeface="HG丸ｺﾞｼｯｸM-PRO" panose="020F0600000000000000" pitchFamily="50" charset="-128"/>
              <a:cs typeface="+mn-cs"/>
            </a:rPr>
            <a:t>〇</a:t>
          </a:r>
          <a:r>
            <a:rPr lang="ja-JP" altLang="en-US" sz="1200" u="sng">
              <a:solidFill>
                <a:schemeClr val="dk1"/>
              </a:solidFill>
              <a:effectLst/>
              <a:latin typeface="HG丸ｺﾞｼｯｸM-PRO" panose="020F0600000000000000" pitchFamily="50" charset="-128"/>
              <a:ea typeface="HG丸ｺﾞｼｯｸM-PRO" panose="020F0600000000000000" pitchFamily="50" charset="-128"/>
              <a:cs typeface="+mn-cs"/>
            </a:rPr>
            <a:t>その他所得</a:t>
          </a:r>
          <a:endParaRPr lang="ja-JP" altLang="ja-JP" sz="1400" u="sng">
            <a:effectLst/>
            <a:latin typeface="HG丸ｺﾞｼｯｸM-PRO" panose="020F0600000000000000" pitchFamily="50" charset="-128"/>
            <a:ea typeface="HG丸ｺﾞｼｯｸM-PRO" panose="020F0600000000000000" pitchFamily="50" charset="-128"/>
          </a:endParaRPr>
        </a:p>
        <a:p>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給与・公的年金以外の種類の所得の合計額を入力してください。</a:t>
          </a:r>
          <a:endParaRPr kumimoji="1" lang="en-US" altLang="ja-JP" sz="12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1200">
              <a:solidFill>
                <a:schemeClr val="dk1"/>
              </a:solidFill>
              <a:effectLst/>
              <a:latin typeface="HG丸ｺﾞｼｯｸM-PRO" panose="020F0600000000000000" pitchFamily="50" charset="-128"/>
              <a:ea typeface="HG丸ｺﾞｼｯｸM-PRO" panose="020F0600000000000000" pitchFamily="50" charset="-128"/>
              <a:cs typeface="+mn-cs"/>
            </a:rPr>
            <a:t>確定申告書の控をお持ちの方は、「所得金額等」の給与・公的年金等以外で記載されている金額を合計し、入力してください（資料１）。</a:t>
          </a:r>
          <a:endParaRPr kumimoji="1" lang="en-US" altLang="ja-JP" sz="1200">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256654</xdr:colOff>
      <xdr:row>0</xdr:row>
      <xdr:rowOff>33620</xdr:rowOff>
    </xdr:from>
    <xdr:to>
      <xdr:col>18</xdr:col>
      <xdr:colOff>85164</xdr:colOff>
      <xdr:row>30</xdr:row>
      <xdr:rowOff>101414</xdr:rowOff>
    </xdr:to>
    <xdr:grpSp>
      <xdr:nvGrpSpPr>
        <xdr:cNvPr id="28" name="グループ化 27">
          <a:extLst>
            <a:ext uri="{FF2B5EF4-FFF2-40B4-BE49-F238E27FC236}">
              <a16:creationId xmlns:a16="http://schemas.microsoft.com/office/drawing/2014/main" id="{00000000-0008-0000-0000-00001C000000}"/>
            </a:ext>
          </a:extLst>
        </xdr:cNvPr>
        <xdr:cNvGrpSpPr/>
      </xdr:nvGrpSpPr>
      <xdr:grpSpPr>
        <a:xfrm>
          <a:off x="7607713" y="33620"/>
          <a:ext cx="3504039" cy="4998382"/>
          <a:chOff x="8250931" y="56031"/>
          <a:chExt cx="4027427" cy="5918946"/>
        </a:xfrm>
      </xdr:grpSpPr>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
          <a:stretch>
            <a:fillRect/>
          </a:stretch>
        </xdr:blipFill>
        <xdr:spPr>
          <a:xfrm>
            <a:off x="8250931" y="56031"/>
            <a:ext cx="4027427" cy="5918946"/>
          </a:xfrm>
          <a:prstGeom prst="rect">
            <a:avLst/>
          </a:prstGeom>
          <a:ln>
            <a:solidFill>
              <a:schemeClr val="tx1"/>
            </a:solidFill>
          </a:ln>
        </xdr:spPr>
      </xdr:pic>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8405012" y="1141881"/>
            <a:ext cx="1862938" cy="2982444"/>
          </a:xfrm>
          <a:prstGeom prst="rect">
            <a:avLst/>
          </a:prstGeom>
          <a:solidFill>
            <a:srgbClr val="FFFF00">
              <a:alpha val="10000"/>
            </a:srgb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18</xdr:col>
      <xdr:colOff>134472</xdr:colOff>
      <xdr:row>0</xdr:row>
      <xdr:rowOff>31377</xdr:rowOff>
    </xdr:from>
    <xdr:to>
      <xdr:col>23</xdr:col>
      <xdr:colOff>661147</xdr:colOff>
      <xdr:row>30</xdr:row>
      <xdr:rowOff>100853</xdr:rowOff>
    </xdr:to>
    <xdr:grpSp>
      <xdr:nvGrpSpPr>
        <xdr:cNvPr id="29" name="グループ化 28">
          <a:extLst>
            <a:ext uri="{FF2B5EF4-FFF2-40B4-BE49-F238E27FC236}">
              <a16:creationId xmlns:a16="http://schemas.microsoft.com/office/drawing/2014/main" id="{00000000-0008-0000-0000-00001D000000}"/>
            </a:ext>
          </a:extLst>
        </xdr:cNvPr>
        <xdr:cNvGrpSpPr/>
      </xdr:nvGrpSpPr>
      <xdr:grpSpPr>
        <a:xfrm>
          <a:off x="11161060" y="31377"/>
          <a:ext cx="3538816" cy="5000064"/>
          <a:chOff x="12355606" y="112059"/>
          <a:chExt cx="4056573" cy="5822561"/>
        </a:xfrm>
      </xdr:grpSpPr>
      <xdr:pic>
        <xdr:nvPicPr>
          <xdr:cNvPr id="22" name="図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
          <a:stretch>
            <a:fillRect/>
          </a:stretch>
        </xdr:blipFill>
        <xdr:spPr>
          <a:xfrm>
            <a:off x="12355606" y="112059"/>
            <a:ext cx="4056573" cy="5822561"/>
          </a:xfrm>
          <a:prstGeom prst="rect">
            <a:avLst/>
          </a:prstGeom>
          <a:ln>
            <a:solidFill>
              <a:schemeClr val="tx1"/>
            </a:solidFill>
          </a:ln>
        </xdr:spPr>
      </xdr:pic>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13234187" y="989481"/>
            <a:ext cx="853288" cy="353544"/>
          </a:xfrm>
          <a:prstGeom prst="rect">
            <a:avLst/>
          </a:prstGeom>
          <a:solidFill>
            <a:srgbClr val="FFFF00">
              <a:alpha val="10000"/>
            </a:srgb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15</xdr:col>
      <xdr:colOff>314325</xdr:colOff>
      <xdr:row>3</xdr:row>
      <xdr:rowOff>28575</xdr:rowOff>
    </xdr:from>
    <xdr:to>
      <xdr:col>17</xdr:col>
      <xdr:colOff>257175</xdr:colOff>
      <xdr:row>5</xdr:row>
      <xdr:rowOff>142875</xdr:rowOff>
    </xdr:to>
    <xdr:grpSp>
      <xdr:nvGrpSpPr>
        <xdr:cNvPr id="35" name="グループ化 34">
          <a:extLst>
            <a:ext uri="{FF2B5EF4-FFF2-40B4-BE49-F238E27FC236}">
              <a16:creationId xmlns:a16="http://schemas.microsoft.com/office/drawing/2014/main" id="{00000000-0008-0000-0000-000023000000}"/>
            </a:ext>
          </a:extLst>
        </xdr:cNvPr>
        <xdr:cNvGrpSpPr/>
      </xdr:nvGrpSpPr>
      <xdr:grpSpPr>
        <a:xfrm>
          <a:off x="9503149" y="521634"/>
          <a:ext cx="1168026" cy="443006"/>
          <a:chOff x="4295775" y="6953250"/>
          <a:chExt cx="1314450" cy="457200"/>
        </a:xfrm>
      </xdr:grpSpPr>
      <xdr:sp macro="" textlink="">
        <xdr:nvSpPr>
          <xdr:cNvPr id="34" name="角丸四角形 33">
            <a:extLst>
              <a:ext uri="{FF2B5EF4-FFF2-40B4-BE49-F238E27FC236}">
                <a16:creationId xmlns:a16="http://schemas.microsoft.com/office/drawing/2014/main" id="{00000000-0008-0000-0000-000022000000}"/>
              </a:ext>
            </a:extLst>
          </xdr:cNvPr>
          <xdr:cNvSpPr/>
        </xdr:nvSpPr>
        <xdr:spPr>
          <a:xfrm>
            <a:off x="4391025" y="6953250"/>
            <a:ext cx="1076325" cy="457200"/>
          </a:xfrm>
          <a:prstGeom prst="round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295775" y="7019926"/>
            <a:ext cx="13144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HG丸ｺﾞｼｯｸM-PRO" panose="020F0600000000000000" pitchFamily="50" charset="-128"/>
                <a:ea typeface="HG丸ｺﾞｼｯｸM-PRO" panose="020F0600000000000000" pitchFamily="50" charset="-128"/>
              </a:rPr>
              <a:t>（資料１）</a:t>
            </a:r>
          </a:p>
        </xdr:txBody>
      </xdr:sp>
    </xdr:grpSp>
    <xdr:clientData/>
  </xdr:twoCellAnchor>
  <xdr:twoCellAnchor>
    <xdr:from>
      <xdr:col>21</xdr:col>
      <xdr:colOff>504825</xdr:colOff>
      <xdr:row>3</xdr:row>
      <xdr:rowOff>0</xdr:rowOff>
    </xdr:from>
    <xdr:to>
      <xdr:col>23</xdr:col>
      <xdr:colOff>447675</xdr:colOff>
      <xdr:row>5</xdr:row>
      <xdr:rowOff>114300</xdr:rowOff>
    </xdr:to>
    <xdr:grpSp>
      <xdr:nvGrpSpPr>
        <xdr:cNvPr id="36" name="グループ化 35">
          <a:extLst>
            <a:ext uri="{FF2B5EF4-FFF2-40B4-BE49-F238E27FC236}">
              <a16:creationId xmlns:a16="http://schemas.microsoft.com/office/drawing/2014/main" id="{00000000-0008-0000-0000-000024000000}"/>
            </a:ext>
          </a:extLst>
        </xdr:cNvPr>
        <xdr:cNvGrpSpPr/>
      </xdr:nvGrpSpPr>
      <xdr:grpSpPr>
        <a:xfrm>
          <a:off x="13369178" y="493059"/>
          <a:ext cx="1168026" cy="443006"/>
          <a:chOff x="4295775" y="6953250"/>
          <a:chExt cx="1314450" cy="457200"/>
        </a:xfrm>
      </xdr:grpSpPr>
      <xdr:sp macro="" textlink="">
        <xdr:nvSpPr>
          <xdr:cNvPr id="37" name="角丸四角形 36">
            <a:extLst>
              <a:ext uri="{FF2B5EF4-FFF2-40B4-BE49-F238E27FC236}">
                <a16:creationId xmlns:a16="http://schemas.microsoft.com/office/drawing/2014/main" id="{00000000-0008-0000-0000-000025000000}"/>
              </a:ext>
            </a:extLst>
          </xdr:cNvPr>
          <xdr:cNvSpPr/>
        </xdr:nvSpPr>
        <xdr:spPr>
          <a:xfrm>
            <a:off x="4391025" y="6953250"/>
            <a:ext cx="1076325" cy="457200"/>
          </a:xfrm>
          <a:prstGeom prst="round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4295775" y="7019926"/>
            <a:ext cx="13144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HG丸ｺﾞｼｯｸM-PRO" panose="020F0600000000000000" pitchFamily="50" charset="-128"/>
                <a:ea typeface="HG丸ｺﾞｼｯｸM-PRO" panose="020F0600000000000000" pitchFamily="50" charset="-128"/>
              </a:rPr>
              <a:t>（資料２）</a:t>
            </a:r>
          </a:p>
        </xdr:txBody>
      </xdr:sp>
    </xdr:grpSp>
    <xdr:clientData/>
  </xdr:twoCellAnchor>
  <xdr:twoCellAnchor>
    <xdr:from>
      <xdr:col>14</xdr:col>
      <xdr:colOff>330574</xdr:colOff>
      <xdr:row>31</xdr:row>
      <xdr:rowOff>11206</xdr:rowOff>
    </xdr:from>
    <xdr:to>
      <xdr:col>21</xdr:col>
      <xdr:colOff>616324</xdr:colOff>
      <xdr:row>51</xdr:row>
      <xdr:rowOff>17544</xdr:rowOff>
    </xdr:to>
    <xdr:grpSp>
      <xdr:nvGrpSpPr>
        <xdr:cNvPr id="44" name="グループ化 43">
          <a:extLst>
            <a:ext uri="{FF2B5EF4-FFF2-40B4-BE49-F238E27FC236}">
              <a16:creationId xmlns:a16="http://schemas.microsoft.com/office/drawing/2014/main" id="{00000000-0008-0000-0000-00002C000000}"/>
            </a:ext>
          </a:extLst>
        </xdr:cNvPr>
        <xdr:cNvGrpSpPr/>
      </xdr:nvGrpSpPr>
      <xdr:grpSpPr>
        <a:xfrm>
          <a:off x="8906809" y="5106147"/>
          <a:ext cx="4567518" cy="3293397"/>
          <a:chOff x="9957794" y="5340560"/>
          <a:chExt cx="5099359" cy="3444630"/>
        </a:xfrm>
      </xdr:grpSpPr>
      <xdr:grpSp>
        <xdr:nvGrpSpPr>
          <xdr:cNvPr id="30" name="グループ化 29">
            <a:extLst>
              <a:ext uri="{FF2B5EF4-FFF2-40B4-BE49-F238E27FC236}">
                <a16:creationId xmlns:a16="http://schemas.microsoft.com/office/drawing/2014/main" id="{00000000-0008-0000-0000-00001E000000}"/>
              </a:ext>
            </a:extLst>
          </xdr:cNvPr>
          <xdr:cNvGrpSpPr/>
        </xdr:nvGrpSpPr>
        <xdr:grpSpPr>
          <a:xfrm>
            <a:off x="9957794" y="5340560"/>
            <a:ext cx="5099359" cy="3444630"/>
            <a:chOff x="9788899" y="5461074"/>
            <a:chExt cx="5003426" cy="3424246"/>
          </a:xfrm>
        </xdr:grpSpPr>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4"/>
            <a:stretch>
              <a:fillRect/>
            </a:stretch>
          </xdr:blipFill>
          <xdr:spPr>
            <a:xfrm>
              <a:off x="9788899" y="5461074"/>
              <a:ext cx="5003426" cy="3424246"/>
            </a:xfrm>
            <a:prstGeom prst="rect">
              <a:avLst/>
            </a:prstGeom>
            <a:ln>
              <a:solidFill>
                <a:schemeClr val="tx1"/>
              </a:solidFill>
            </a:ln>
          </xdr:spPr>
        </xdr:pic>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9957586" y="6275855"/>
              <a:ext cx="2767813" cy="610719"/>
            </a:xfrm>
            <a:prstGeom prst="rect">
              <a:avLst/>
            </a:prstGeom>
            <a:solidFill>
              <a:srgbClr val="FFFF00">
                <a:alpha val="10000"/>
              </a:srgb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nvGrpSpPr>
          <xdr:cNvPr id="39" name="グループ化 38">
            <a:extLst>
              <a:ext uri="{FF2B5EF4-FFF2-40B4-BE49-F238E27FC236}">
                <a16:creationId xmlns:a16="http://schemas.microsoft.com/office/drawing/2014/main" id="{00000000-0008-0000-0000-000027000000}"/>
              </a:ext>
            </a:extLst>
          </xdr:cNvPr>
          <xdr:cNvGrpSpPr/>
        </xdr:nvGrpSpPr>
        <xdr:grpSpPr>
          <a:xfrm>
            <a:off x="13371403" y="5822195"/>
            <a:ext cx="1320483" cy="413274"/>
            <a:chOff x="4204323" y="6953250"/>
            <a:chExt cx="1445661" cy="457200"/>
          </a:xfrm>
        </xdr:grpSpPr>
        <xdr:sp macro="" textlink="">
          <xdr:nvSpPr>
            <xdr:cNvPr id="40" name="角丸四角形 39">
              <a:extLst>
                <a:ext uri="{FF2B5EF4-FFF2-40B4-BE49-F238E27FC236}">
                  <a16:creationId xmlns:a16="http://schemas.microsoft.com/office/drawing/2014/main" id="{00000000-0008-0000-0000-000028000000}"/>
                </a:ext>
              </a:extLst>
            </xdr:cNvPr>
            <xdr:cNvSpPr/>
          </xdr:nvSpPr>
          <xdr:spPr>
            <a:xfrm>
              <a:off x="4391025" y="6953250"/>
              <a:ext cx="1076325" cy="457200"/>
            </a:xfrm>
            <a:prstGeom prst="round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204323" y="7019582"/>
              <a:ext cx="1445661" cy="3513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HG丸ｺﾞｼｯｸM-PRO" panose="020F0600000000000000" pitchFamily="50" charset="-128"/>
                  <a:ea typeface="HG丸ｺﾞｼｯｸM-PRO" panose="020F0600000000000000" pitchFamily="50" charset="-128"/>
                </a:rPr>
                <a:t>（資料３）</a:t>
              </a:r>
            </a:p>
          </xdr:txBody>
        </xdr:sp>
      </xdr:grpSp>
    </xdr:grp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11204</xdr:rowOff>
        </xdr:from>
        <xdr:to>
          <xdr:col>11</xdr:col>
          <xdr:colOff>470647</xdr:colOff>
          <xdr:row>5</xdr:row>
          <xdr:rowOff>96353</xdr:rowOff>
        </xdr:to>
        <xdr:pic>
          <xdr:nvPicPr>
            <xdr:cNvPr id="50" name="図 49">
              <a:extLst>
                <a:ext uri="{FF2B5EF4-FFF2-40B4-BE49-F238E27FC236}">
                  <a16:creationId xmlns:a16="http://schemas.microsoft.com/office/drawing/2014/main" id="{00000000-0008-0000-0000-000032000000}"/>
                </a:ext>
              </a:extLst>
            </xdr:cNvPr>
            <xdr:cNvPicPr>
              <a:picLocks noChangeAspect="1" noChangeArrowheads="1"/>
              <a:extLst>
                <a:ext uri="{84589F7E-364E-4C9E-8A38-B11213B215E9}">
                  <a14:cameraTool cellRange="【令和8年度】大崎上島町国民健康保険税試算!$A$1:$M$3" spid="_x0000_s3246"/>
                </a:ext>
              </a:extLst>
            </xdr:cNvPicPr>
          </xdr:nvPicPr>
          <xdr:blipFill>
            <a:blip xmlns:r="http://schemas.openxmlformats.org/officeDocument/2006/relationships" r:embed="rId5"/>
            <a:srcRect/>
            <a:stretch>
              <a:fillRect/>
            </a:stretch>
          </xdr:blipFill>
          <xdr:spPr bwMode="auto">
            <a:xfrm>
              <a:off x="0" y="11204"/>
              <a:ext cx="7989794" cy="92559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900545</xdr:colOff>
      <xdr:row>0</xdr:row>
      <xdr:rowOff>320387</xdr:rowOff>
    </xdr:from>
    <xdr:to>
      <xdr:col>12</xdr:col>
      <xdr:colOff>969818</xdr:colOff>
      <xdr:row>2</xdr:row>
      <xdr:rowOff>320387</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7568045" y="320387"/>
          <a:ext cx="5195455" cy="1004455"/>
        </a:xfrm>
        <a:prstGeom prst="rect">
          <a:avLst/>
        </a:prstGeom>
        <a:solidFill>
          <a:srgbClr val="FFFF99"/>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lstStyle/>
        <a:p>
          <a:pPr algn="ctr"/>
          <a:r>
            <a:rPr kumimoji="1" lang="en-US" altLang="ja-JP" sz="2000" b="1">
              <a:latin typeface="HG丸ｺﾞｼｯｸM-PRO" panose="020F0600000000000000" pitchFamily="50" charset="-128"/>
              <a:ea typeface="HG丸ｺﾞｼｯｸM-PRO" panose="020F0600000000000000" pitchFamily="50" charset="-128"/>
            </a:rPr>
            <a:t>【</a:t>
          </a:r>
          <a:r>
            <a:rPr kumimoji="1" lang="ja-JP" altLang="en-US" sz="2000" b="1">
              <a:latin typeface="HG丸ｺﾞｼｯｸM-PRO" panose="020F0600000000000000" pitchFamily="50" charset="-128"/>
              <a:ea typeface="HG丸ｺﾞｼｯｸM-PRO" panose="020F0600000000000000" pitchFamily="50" charset="-128"/>
            </a:rPr>
            <a:t>使い方</a:t>
          </a:r>
          <a:r>
            <a:rPr kumimoji="1" lang="en-US" altLang="ja-JP" sz="2000" b="1">
              <a:latin typeface="HG丸ｺﾞｼｯｸM-PRO" panose="020F0600000000000000" pitchFamily="50" charset="-128"/>
              <a:ea typeface="HG丸ｺﾞｼｯｸM-PRO" panose="020F0600000000000000" pitchFamily="50" charset="-128"/>
            </a:rPr>
            <a:t>】</a:t>
          </a:r>
          <a:r>
            <a:rPr kumimoji="1" lang="ja-JP" altLang="en-US" sz="2000" b="1">
              <a:latin typeface="HG丸ｺﾞｼｯｸM-PRO" panose="020F0600000000000000" pitchFamily="50" charset="-128"/>
              <a:ea typeface="HG丸ｺﾞｼｯｸM-PRO" panose="020F0600000000000000" pitchFamily="50" charset="-128"/>
            </a:rPr>
            <a:t>黄色のセルに入力してください</a:t>
          </a:r>
        </a:p>
      </xdr:txBody>
    </xdr:sp>
    <xdr:clientData fPrintsWithSheet="0"/>
  </xdr:twoCellAnchor>
  <xdr:twoCellAnchor>
    <xdr:from>
      <xdr:col>10</xdr:col>
      <xdr:colOff>394138</xdr:colOff>
      <xdr:row>31</xdr:row>
      <xdr:rowOff>328448</xdr:rowOff>
    </xdr:from>
    <xdr:to>
      <xdr:col>12</xdr:col>
      <xdr:colOff>1110367</xdr:colOff>
      <xdr:row>42</xdr:row>
      <xdr:rowOff>163285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9864709" y="12257377"/>
          <a:ext cx="2947801" cy="4724337"/>
        </a:xfrm>
        <a:prstGeom prst="rect">
          <a:avLst/>
        </a:prstGeom>
        <a:noFill/>
        <a:ln w="63500" cmpd="tri">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0"/>
            <a:t>【</a:t>
          </a:r>
          <a:r>
            <a:rPr kumimoji="1" lang="ja-JP" altLang="en-US" sz="1800" b="0"/>
            <a:t>注意事項</a:t>
          </a:r>
          <a:r>
            <a:rPr kumimoji="1" lang="en-US" altLang="ja-JP" sz="1800" b="0"/>
            <a:t>】</a:t>
          </a:r>
        </a:p>
        <a:p>
          <a:r>
            <a:rPr kumimoji="1" lang="en-US" altLang="ja-JP" sz="1800" b="1" u="sng"/>
            <a:t>○</a:t>
          </a:r>
          <a:r>
            <a:rPr kumimoji="1" lang="ja-JP" altLang="en-US" sz="1800" b="1" u="sng"/>
            <a:t>このエクセルによる計算結果は、実際の決定税額と異なる場合があります。</a:t>
          </a:r>
        </a:p>
        <a:p>
          <a:endParaRPr kumimoji="1" lang="ja-JP" altLang="en-US" sz="1600" b="0"/>
        </a:p>
        <a:p>
          <a:r>
            <a:rPr kumimoji="1" lang="ja-JP" altLang="en-US" sz="1400" b="0"/>
            <a:t>○</a:t>
          </a:r>
          <a:r>
            <a:rPr kumimoji="1" lang="en-US" altLang="ja-JP" sz="1400" b="0"/>
            <a:t>4</a:t>
          </a:r>
          <a:r>
            <a:rPr kumimoji="1" lang="ja-JP" altLang="en-US" sz="1400" b="0"/>
            <a:t>月</a:t>
          </a:r>
          <a:r>
            <a:rPr kumimoji="1" lang="en-US" altLang="ja-JP" sz="1400" b="0"/>
            <a:t>1</a:t>
          </a:r>
          <a:r>
            <a:rPr kumimoji="1" lang="ja-JP" altLang="en-US" sz="1400" b="0"/>
            <a:t>日～翌年</a:t>
          </a:r>
          <a:r>
            <a:rPr kumimoji="1" lang="en-US" altLang="ja-JP" sz="1400" b="0"/>
            <a:t>3</a:t>
          </a:r>
          <a:r>
            <a:rPr kumimoji="1" lang="ja-JP" altLang="en-US" sz="1400" b="0"/>
            <a:t>月</a:t>
          </a:r>
          <a:r>
            <a:rPr kumimoji="1" lang="en-US" altLang="ja-JP" sz="1400" b="0"/>
            <a:t>31</a:t>
          </a:r>
          <a:r>
            <a:rPr kumimoji="1" lang="ja-JP" altLang="en-US" sz="1400" b="0"/>
            <a:t>日まで国民健康保険に加入している場合の保険税の計算結果となります。</a:t>
          </a:r>
          <a:endParaRPr kumimoji="1" lang="en-US" altLang="ja-JP" sz="1400" b="0"/>
        </a:p>
        <a:p>
          <a:endParaRPr kumimoji="1" lang="en-US" altLang="ja-JP" sz="1400" b="0"/>
        </a:p>
        <a:p>
          <a:r>
            <a:rPr kumimoji="1" lang="ja-JP" altLang="en-US" sz="1400" b="0"/>
            <a:t>○確定申告をする世帯のうち、次のいずれかに該当する場合は、正しく計算できません。</a:t>
          </a:r>
          <a:endParaRPr kumimoji="1" lang="en-US" altLang="ja-JP" sz="1400" b="0"/>
        </a:p>
        <a:p>
          <a:r>
            <a:rPr kumimoji="1" lang="ja-JP" altLang="en-US" sz="1400" b="0"/>
            <a:t>　・ 専従者給与や専従者控除がある</a:t>
          </a:r>
        </a:p>
        <a:p>
          <a:r>
            <a:rPr kumimoji="1" lang="ja-JP" altLang="en-US" sz="1400" b="0"/>
            <a:t>　・ 繰越損失がある　</a:t>
          </a:r>
          <a:endParaRPr kumimoji="1" lang="en-US" altLang="ja-JP" sz="1400" b="0"/>
        </a:p>
        <a:p>
          <a:r>
            <a:rPr kumimoji="1" lang="ja-JP" altLang="en-US" sz="1400" b="0"/>
            <a:t>　・ 分離課税所得がある</a:t>
          </a:r>
          <a:endParaRPr kumimoji="1" lang="en-US" altLang="ja-JP" sz="1400" b="0"/>
        </a:p>
        <a:p>
          <a:endParaRPr kumimoji="1" lang="en-US" altLang="ja-JP" sz="1400" b="0"/>
        </a:p>
        <a:p>
          <a:r>
            <a:rPr kumimoji="1" lang="ja-JP" altLang="en-US" sz="1400" b="0"/>
            <a:t>〇その他、減免制度や軽減制度が適用となる場合は、正しく計算できません</a:t>
          </a:r>
          <a:r>
            <a:rPr kumimoji="1" lang="ja-JP" altLang="en-US" sz="1200" b="0"/>
            <a:t>。</a:t>
          </a:r>
        </a:p>
      </xdr:txBody>
    </xdr:sp>
    <xdr:clientData/>
  </xdr:twoCellAnchor>
  <xdr:twoCellAnchor>
    <xdr:from>
      <xdr:col>1</xdr:col>
      <xdr:colOff>57150</xdr:colOff>
      <xdr:row>42</xdr:row>
      <xdr:rowOff>242455</xdr:rowOff>
    </xdr:from>
    <xdr:to>
      <xdr:col>12</xdr:col>
      <xdr:colOff>1142999</xdr:colOff>
      <xdr:row>46</xdr:row>
      <xdr:rowOff>155863</xdr:rowOff>
    </xdr:to>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316923" y="15222682"/>
          <a:ext cx="12256076" cy="848590"/>
        </a:xfrm>
        <a:prstGeom prst="rect">
          <a:avLst/>
        </a:prstGeom>
        <a:solidFill>
          <a:schemeClr val="bg1">
            <a:lumMod val="95000"/>
          </a:schemeClr>
        </a:solidFill>
        <a:ln w="63500" cmpd="dbl">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2000" b="0"/>
            <a:t>【</a:t>
          </a:r>
          <a:r>
            <a:rPr kumimoji="1" lang="ja-JP" altLang="en-US" sz="2000" b="0"/>
            <a:t>お問い合わせ先</a:t>
          </a:r>
          <a:r>
            <a:rPr kumimoji="1" lang="en-US" altLang="ja-JP" sz="2000" b="0"/>
            <a:t>】</a:t>
          </a:r>
        </a:p>
        <a:p>
          <a:pPr algn="ctr"/>
          <a:r>
            <a:rPr kumimoji="1" lang="ja-JP" altLang="en-US" sz="2000" b="0" baseline="0"/>
            <a:t>大崎上島町役場税務課　　　ＴＥＬ：（０８４６）６４－３１１４　</a:t>
          </a:r>
          <a:endParaRPr kumimoji="1" lang="en-US" altLang="ja-JP" sz="2000" b="0" baseline="0"/>
        </a:p>
        <a:p>
          <a:endParaRPr kumimoji="1" lang="ja-JP" altLang="en-US" sz="2000" b="0"/>
        </a:p>
      </xdr:txBody>
    </xdr:sp>
    <xdr:clientData/>
  </xdr:twoCellAnchor>
  <mc:AlternateContent xmlns:mc="http://schemas.openxmlformats.org/markup-compatibility/2006">
    <mc:Choice xmlns:a14="http://schemas.microsoft.com/office/drawing/2010/main" Requires="a14">
      <xdr:twoCellAnchor editAs="oneCell">
        <xdr:from>
          <xdr:col>1</xdr:col>
          <xdr:colOff>17379</xdr:colOff>
          <xdr:row>20</xdr:row>
          <xdr:rowOff>282091</xdr:rowOff>
        </xdr:from>
        <xdr:to>
          <xdr:col>6</xdr:col>
          <xdr:colOff>674317</xdr:colOff>
          <xdr:row>21</xdr:row>
          <xdr:rowOff>1630488</xdr:rowOff>
        </xdr:to>
        <xdr:pic>
          <xdr:nvPicPr>
            <xdr:cNvPr id="44" name="図 43">
              <a:extLst>
                <a:ext uri="{FF2B5EF4-FFF2-40B4-BE49-F238E27FC236}">
                  <a16:creationId xmlns:a16="http://schemas.microsoft.com/office/drawing/2014/main" id="{00000000-0008-0000-0100-00002C000000}"/>
                </a:ext>
              </a:extLst>
            </xdr:cNvPr>
            <xdr:cNvPicPr>
              <a:picLocks noChangeAspect="1" noChangeArrowheads="1"/>
              <a:extLst>
                <a:ext uri="{84589F7E-364E-4C9E-8A38-B11213B215E9}">
                  <a14:cameraTool cellRange="基礎情報!$A$1:$D$6" spid="_x0000_s1343"/>
                </a:ext>
              </a:extLst>
            </xdr:cNvPicPr>
          </xdr:nvPicPr>
          <xdr:blipFill>
            <a:blip xmlns:r="http://schemas.openxmlformats.org/officeDocument/2006/relationships" r:embed="rId1"/>
            <a:srcRect/>
            <a:stretch>
              <a:fillRect/>
            </a:stretch>
          </xdr:blipFill>
          <xdr:spPr bwMode="auto">
            <a:xfrm>
              <a:off x="253236" y="6051520"/>
              <a:ext cx="5228938" cy="1693111"/>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7</xdr:col>
      <xdr:colOff>383322</xdr:colOff>
      <xdr:row>21</xdr:row>
      <xdr:rowOff>336859</xdr:rowOff>
    </xdr:from>
    <xdr:to>
      <xdr:col>9</xdr:col>
      <xdr:colOff>778261</xdr:colOff>
      <xdr:row>21</xdr:row>
      <xdr:rowOff>1498444</xdr:rowOff>
    </xdr:to>
    <xdr:sp macro="" textlink="">
      <xdr:nvSpPr>
        <xdr:cNvPr id="26" name="四角形吹き出し 25">
          <a:extLst>
            <a:ext uri="{FF2B5EF4-FFF2-40B4-BE49-F238E27FC236}">
              <a16:creationId xmlns:a16="http://schemas.microsoft.com/office/drawing/2014/main" id="{00000000-0008-0000-0100-00001A000000}"/>
            </a:ext>
          </a:extLst>
        </xdr:cNvPr>
        <xdr:cNvSpPr/>
      </xdr:nvSpPr>
      <xdr:spPr>
        <a:xfrm>
          <a:off x="6893940" y="6488888"/>
          <a:ext cx="2882645" cy="1161585"/>
        </a:xfrm>
        <a:prstGeom prst="wedgeRectCallout">
          <a:avLst>
            <a:gd name="adj1" fmla="val 1398"/>
            <a:gd name="adj2" fmla="val 77238"/>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mn-lt"/>
              <a:ea typeface="+mn-ea"/>
              <a:cs typeface="+mn-cs"/>
            </a:rPr>
            <a:t>年度の途中で４０歳になる方、６５歳になる方は、介護納付金分が加入月分の税額となるよう調整を行っています。</a:t>
          </a:r>
          <a:endParaRPr lang="ja-JP" altLang="ja-JP" sz="1600">
            <a:effectLst/>
          </a:endParaRPr>
        </a:p>
      </xdr:txBody>
    </xdr:sp>
    <xdr:clientData/>
  </xdr:twoCellAnchor>
  <xdr:twoCellAnchor>
    <xdr:from>
      <xdr:col>10</xdr:col>
      <xdr:colOff>401825</xdr:colOff>
      <xdr:row>28</xdr:row>
      <xdr:rowOff>309316</xdr:rowOff>
    </xdr:from>
    <xdr:to>
      <xdr:col>12</xdr:col>
      <xdr:colOff>1155462</xdr:colOff>
      <xdr:row>31</xdr:row>
      <xdr:rowOff>180148</xdr:rowOff>
    </xdr:to>
    <xdr:sp macro="" textlink="">
      <xdr:nvSpPr>
        <xdr:cNvPr id="41" name="四角形吹き出し 40">
          <a:extLst>
            <a:ext uri="{FF2B5EF4-FFF2-40B4-BE49-F238E27FC236}">
              <a16:creationId xmlns:a16="http://schemas.microsoft.com/office/drawing/2014/main" id="{00000000-0008-0000-0100-000029000000}"/>
            </a:ext>
          </a:extLst>
        </xdr:cNvPr>
        <xdr:cNvSpPr/>
      </xdr:nvSpPr>
      <xdr:spPr>
        <a:xfrm>
          <a:off x="10775416" y="11029271"/>
          <a:ext cx="3178182" cy="1221650"/>
        </a:xfrm>
        <a:prstGeom prst="wedgeRectCallout">
          <a:avLst>
            <a:gd name="adj1" fmla="val -61694"/>
            <a:gd name="adj2" fmla="val 56010"/>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kumimoji="1" lang="ja-JP" altLang="ja-JP" sz="1600">
              <a:solidFill>
                <a:schemeClr val="dk1"/>
              </a:solidFill>
              <a:effectLst/>
              <a:latin typeface="+mn-lt"/>
              <a:ea typeface="+mn-ea"/>
              <a:cs typeface="+mn-cs"/>
            </a:rPr>
            <a:t>軽減判定用所得金額は、加入者と世帯主の総所得金額の合計です。ただし、６５歳以上に公的年金特別控除（</a:t>
          </a:r>
          <a:r>
            <a:rPr kumimoji="1" lang="en-US" altLang="ja-JP" sz="1600">
              <a:solidFill>
                <a:schemeClr val="dk1"/>
              </a:solidFill>
              <a:effectLst/>
              <a:latin typeface="+mn-lt"/>
              <a:ea typeface="+mn-ea"/>
              <a:cs typeface="+mn-cs"/>
            </a:rPr>
            <a:t>15</a:t>
          </a:r>
          <a:r>
            <a:rPr kumimoji="1" lang="ja-JP" altLang="ja-JP" sz="1600">
              <a:solidFill>
                <a:schemeClr val="dk1"/>
              </a:solidFill>
              <a:effectLst/>
              <a:latin typeface="+mn-lt"/>
              <a:ea typeface="+mn-ea"/>
              <a:cs typeface="+mn-cs"/>
            </a:rPr>
            <a:t>万円）が適用されます。</a:t>
          </a:r>
          <a:endParaRPr lang="ja-JP" altLang="ja-JP" sz="2000">
            <a:effectLst/>
          </a:endParaRPr>
        </a:p>
      </xdr:txBody>
    </xdr:sp>
    <xdr:clientData/>
  </xdr:twoCellAnchor>
  <xdr:twoCellAnchor>
    <xdr:from>
      <xdr:col>10</xdr:col>
      <xdr:colOff>381909</xdr:colOff>
      <xdr:row>21</xdr:row>
      <xdr:rowOff>864039</xdr:rowOff>
    </xdr:from>
    <xdr:to>
      <xdr:col>12</xdr:col>
      <xdr:colOff>1135546</xdr:colOff>
      <xdr:row>24</xdr:row>
      <xdr:rowOff>363681</xdr:rowOff>
    </xdr:to>
    <xdr:sp macro="" textlink="">
      <xdr:nvSpPr>
        <xdr:cNvPr id="43" name="四角形吹き出し 42">
          <a:extLst>
            <a:ext uri="{FF2B5EF4-FFF2-40B4-BE49-F238E27FC236}">
              <a16:creationId xmlns:a16="http://schemas.microsoft.com/office/drawing/2014/main" id="{00000000-0008-0000-0100-00002B000000}"/>
            </a:ext>
          </a:extLst>
        </xdr:cNvPr>
        <xdr:cNvSpPr/>
      </xdr:nvSpPr>
      <xdr:spPr>
        <a:xfrm>
          <a:off x="10755500" y="7063948"/>
          <a:ext cx="3178182" cy="2218597"/>
        </a:xfrm>
        <a:prstGeom prst="wedgeRectCallout">
          <a:avLst>
            <a:gd name="adj1" fmla="val -63512"/>
            <a:gd name="adj2" fmla="val -6793"/>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kumimoji="1" lang="ja-JP" altLang="en-US" sz="1600">
              <a:solidFill>
                <a:schemeClr val="dk1"/>
              </a:solidFill>
              <a:effectLst/>
              <a:latin typeface="+mn-lt"/>
              <a:ea typeface="+mn-ea"/>
              <a:cs typeface="+mn-cs"/>
            </a:rPr>
            <a:t>令和８年度より新設されました。</a:t>
          </a:r>
          <a:endParaRPr kumimoji="1" lang="en-US" altLang="ja-JP" sz="1600">
            <a:solidFill>
              <a:schemeClr val="dk1"/>
            </a:solidFill>
            <a:effectLst/>
            <a:latin typeface="+mn-lt"/>
            <a:ea typeface="+mn-ea"/>
            <a:cs typeface="+mn-cs"/>
          </a:endParaRPr>
        </a:p>
        <a:p>
          <a:r>
            <a:rPr lang="ja-JP" altLang="en-US" sz="1600">
              <a:effectLst/>
            </a:rPr>
            <a:t>子ども・子育て支援金制度は、こどもや子育て世代を社会全体で応援するための制度です。</a:t>
          </a:r>
          <a:endParaRPr lang="en-US" altLang="ja-JP" sz="1600">
            <a:effectLst/>
          </a:endParaRPr>
        </a:p>
        <a:p>
          <a:r>
            <a:rPr lang="ja-JP" altLang="en-US" sz="1600">
              <a:effectLst/>
            </a:rPr>
            <a:t>支援金は、「児童手当の拡充」や「妊婦のための支援給付」などこどもと子育て世帯への支援事業に充てられます。</a:t>
          </a:r>
          <a:endParaRPr lang="en-US" altLang="ja-JP" sz="1600">
            <a:effectLst/>
          </a:endParaRPr>
        </a:p>
        <a:p>
          <a:endParaRPr lang="ja-JP" altLang="ja-JP" sz="2000">
            <a:effectLst/>
          </a:endParaRPr>
        </a:p>
      </xdr:txBody>
    </xdr:sp>
    <xdr:clientData/>
  </xdr:twoCellAnchor>
  <xdr:twoCellAnchor>
    <xdr:from>
      <xdr:col>10</xdr:col>
      <xdr:colOff>398362</xdr:colOff>
      <xdr:row>25</xdr:row>
      <xdr:rowOff>253897</xdr:rowOff>
    </xdr:from>
    <xdr:to>
      <xdr:col>12</xdr:col>
      <xdr:colOff>1151999</xdr:colOff>
      <xdr:row>28</xdr:row>
      <xdr:rowOff>124728</xdr:rowOff>
    </xdr:to>
    <xdr:sp macro="" textlink="">
      <xdr:nvSpPr>
        <xdr:cNvPr id="10" name="四角形吹き出し 9">
          <a:extLst>
            <a:ext uri="{FF2B5EF4-FFF2-40B4-BE49-F238E27FC236}">
              <a16:creationId xmlns:a16="http://schemas.microsoft.com/office/drawing/2014/main" id="{00000000-0008-0000-0100-000029000000}"/>
            </a:ext>
          </a:extLst>
        </xdr:cNvPr>
        <xdr:cNvSpPr/>
      </xdr:nvSpPr>
      <xdr:spPr>
        <a:xfrm>
          <a:off x="10771953" y="9623033"/>
          <a:ext cx="3178182" cy="1221650"/>
        </a:xfrm>
        <a:prstGeom prst="wedgeRectCallout">
          <a:avLst>
            <a:gd name="adj1" fmla="val -61694"/>
            <a:gd name="adj2" fmla="val -13453"/>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kumimoji="1" lang="ja-JP" altLang="en-US" sz="1600">
              <a:solidFill>
                <a:schemeClr val="dk1"/>
              </a:solidFill>
              <a:effectLst/>
              <a:latin typeface="+mn-lt"/>
              <a:ea typeface="+mn-ea"/>
              <a:cs typeface="+mn-cs"/>
            </a:rPr>
            <a:t>子ども・子育て支援納付金は、「均等割額」及び「</a:t>
          </a:r>
          <a:r>
            <a:rPr kumimoji="1" lang="en-US" altLang="ja-JP" sz="1600">
              <a:solidFill>
                <a:schemeClr val="dk1"/>
              </a:solidFill>
              <a:effectLst/>
              <a:latin typeface="+mn-lt"/>
              <a:ea typeface="+mn-ea"/>
              <a:cs typeface="+mn-cs"/>
            </a:rPr>
            <a:t>18</a:t>
          </a:r>
          <a:r>
            <a:rPr kumimoji="1" lang="ja-JP" altLang="en-US" sz="1600">
              <a:solidFill>
                <a:schemeClr val="dk1"/>
              </a:solidFill>
              <a:effectLst/>
              <a:latin typeface="+mn-lt"/>
              <a:ea typeface="+mn-ea"/>
              <a:cs typeface="+mn-cs"/>
            </a:rPr>
            <a:t>歳以上被保険者均等割額」の合計額を記載しています。</a:t>
          </a:r>
          <a:endParaRPr lang="ja-JP" altLang="ja-JP" sz="2000">
            <a:effectLst/>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5</xdr:col>
      <xdr:colOff>22972</xdr:colOff>
      <xdr:row>2</xdr:row>
      <xdr:rowOff>41464</xdr:rowOff>
    </xdr:from>
    <xdr:ext cx="3125880" cy="821390"/>
    <xdr:sp macro="" textlink="">
      <xdr:nvSpPr>
        <xdr:cNvPr id="3" name="左矢印吹き出し 2">
          <a:extLst>
            <a:ext uri="{FF2B5EF4-FFF2-40B4-BE49-F238E27FC236}">
              <a16:creationId xmlns:a16="http://schemas.microsoft.com/office/drawing/2014/main" id="{00000000-0008-0000-0200-000003000000}"/>
            </a:ext>
          </a:extLst>
        </xdr:cNvPr>
        <xdr:cNvSpPr/>
      </xdr:nvSpPr>
      <xdr:spPr>
        <a:xfrm>
          <a:off x="4348443" y="489699"/>
          <a:ext cx="3125880" cy="821390"/>
        </a:xfrm>
        <a:prstGeom prst="leftArrowCallout">
          <a:avLst>
            <a:gd name="adj1" fmla="val 23611"/>
            <a:gd name="adj2" fmla="val 25000"/>
            <a:gd name="adj3" fmla="val 25000"/>
            <a:gd name="adj4" fmla="val 84594"/>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noAutofit/>
        </a:bodyPr>
        <a:lstStyle/>
        <a:p>
          <a:pPr algn="l"/>
          <a:r>
            <a:rPr kumimoji="1" lang="ja-JP" altLang="en-US" sz="1100"/>
            <a:t>年度、税率、各金額、限度額を入力</a:t>
          </a:r>
          <a:endParaRPr kumimoji="1" lang="en-US" altLang="ja-JP" sz="1100"/>
        </a:p>
        <a:p>
          <a:pPr algn="l"/>
          <a:r>
            <a:rPr kumimoji="1" lang="en-US" altLang="ja-JP" sz="1000"/>
            <a:t>※</a:t>
          </a:r>
          <a:r>
            <a:rPr kumimoji="1" lang="ja-JP" altLang="en-US" sz="1000"/>
            <a:t>子ども・子育て支援納付金分の均等割額は、「均等割額」と「</a:t>
          </a:r>
          <a:r>
            <a:rPr kumimoji="1" lang="en-US" altLang="ja-JP" sz="1000"/>
            <a:t>18</a:t>
          </a:r>
          <a:r>
            <a:rPr kumimoji="1" lang="ja-JP" altLang="en-US" sz="1000"/>
            <a:t>歳以上均等割額」の合計を入力すること</a:t>
          </a:r>
          <a:endParaRPr kumimoji="1" lang="en-US" altLang="ja-JP" sz="1000"/>
        </a:p>
      </xdr:txBody>
    </xdr:sp>
    <xdr:clientData/>
  </xdr:oneCellAnchor>
  <xdr:oneCellAnchor>
    <xdr:from>
      <xdr:col>10</xdr:col>
      <xdr:colOff>145676</xdr:colOff>
      <xdr:row>11</xdr:row>
      <xdr:rowOff>33617</xdr:rowOff>
    </xdr:from>
    <xdr:ext cx="3981450" cy="493059"/>
    <xdr:sp macro="" textlink="">
      <xdr:nvSpPr>
        <xdr:cNvPr id="4" name="左矢印吹き出し 3">
          <a:extLst>
            <a:ext uri="{FF2B5EF4-FFF2-40B4-BE49-F238E27FC236}">
              <a16:creationId xmlns:a16="http://schemas.microsoft.com/office/drawing/2014/main" id="{00000000-0008-0000-0200-000004000000}"/>
            </a:ext>
          </a:extLst>
        </xdr:cNvPr>
        <xdr:cNvSpPr/>
      </xdr:nvSpPr>
      <xdr:spPr>
        <a:xfrm>
          <a:off x="9121588" y="2498911"/>
          <a:ext cx="3981450" cy="493059"/>
        </a:xfrm>
        <a:prstGeom prst="leftArrowCallout">
          <a:avLst>
            <a:gd name="adj1" fmla="val 23611"/>
            <a:gd name="adj2" fmla="val 25000"/>
            <a:gd name="adj3" fmla="val 25000"/>
            <a:gd name="adj4" fmla="val 84594"/>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noAutofit/>
        </a:bodyPr>
        <a:lstStyle/>
        <a:p>
          <a:pPr algn="l"/>
          <a:r>
            <a:rPr kumimoji="1" lang="ja-JP" altLang="en-US" sz="1100"/>
            <a:t>税法等改正により軽減判定基準額の算出に用いる</a:t>
          </a:r>
          <a:endParaRPr kumimoji="1" lang="en-US" altLang="ja-JP" sz="1100"/>
        </a:p>
        <a:p>
          <a:pPr algn="l"/>
          <a:r>
            <a:rPr kumimoji="1" lang="ja-JP" altLang="en-US" sz="1100"/>
            <a:t>加除額が変更となったら数値を入力</a:t>
          </a:r>
          <a:endParaRPr kumimoji="1" lang="en-US" altLang="ja-JP" sz="1100"/>
        </a:p>
      </xdr:txBody>
    </xdr:sp>
    <xdr:clientData/>
  </xdr:oneCellAnchor>
  <xdr:oneCellAnchor>
    <xdr:from>
      <xdr:col>2</xdr:col>
      <xdr:colOff>40902</xdr:colOff>
      <xdr:row>7</xdr:row>
      <xdr:rowOff>3363</xdr:rowOff>
    </xdr:from>
    <xdr:ext cx="3125880" cy="209548"/>
    <xdr:sp macro="" textlink="">
      <xdr:nvSpPr>
        <xdr:cNvPr id="6" name="左矢印吹き出し 5">
          <a:extLst>
            <a:ext uri="{FF2B5EF4-FFF2-40B4-BE49-F238E27FC236}">
              <a16:creationId xmlns:a16="http://schemas.microsoft.com/office/drawing/2014/main" id="{00000000-0008-0000-0200-000006000000}"/>
            </a:ext>
          </a:extLst>
        </xdr:cNvPr>
        <xdr:cNvSpPr/>
      </xdr:nvSpPr>
      <xdr:spPr>
        <a:xfrm>
          <a:off x="1833843" y="1572187"/>
          <a:ext cx="3125880" cy="209548"/>
        </a:xfrm>
        <a:prstGeom prst="leftArrowCallout">
          <a:avLst>
            <a:gd name="adj1" fmla="val 23611"/>
            <a:gd name="adj2" fmla="val 25000"/>
            <a:gd name="adj3" fmla="val 25000"/>
            <a:gd name="adj4" fmla="val 84594"/>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ctr" anchorCtr="0">
          <a:noAutofit/>
        </a:bodyPr>
        <a:lstStyle/>
        <a:p>
          <a:pPr algn="l"/>
          <a:r>
            <a:rPr kumimoji="1" lang="ja-JP" altLang="en-US" sz="1100"/>
            <a:t>年齢判定基準日は１月１日</a:t>
          </a:r>
          <a:endParaRPr kumimoji="1" lang="en-US" altLang="ja-JP" sz="1100"/>
        </a:p>
      </xdr:txBody>
    </xdr:sp>
    <xdr:clientData/>
  </xdr:oneCellAnchor>
  <xdr:oneCellAnchor>
    <xdr:from>
      <xdr:col>2</xdr:col>
      <xdr:colOff>56029</xdr:colOff>
      <xdr:row>8</xdr:row>
      <xdr:rowOff>22412</xdr:rowOff>
    </xdr:from>
    <xdr:ext cx="3125880" cy="209548"/>
    <xdr:sp macro="" textlink="">
      <xdr:nvSpPr>
        <xdr:cNvPr id="7" name="左矢印吹き出し 6">
          <a:extLst>
            <a:ext uri="{FF2B5EF4-FFF2-40B4-BE49-F238E27FC236}">
              <a16:creationId xmlns:a16="http://schemas.microsoft.com/office/drawing/2014/main" id="{00000000-0008-0000-0200-000007000000}"/>
            </a:ext>
          </a:extLst>
        </xdr:cNvPr>
        <xdr:cNvSpPr/>
      </xdr:nvSpPr>
      <xdr:spPr>
        <a:xfrm>
          <a:off x="1848970" y="1815353"/>
          <a:ext cx="3125880" cy="209548"/>
        </a:xfrm>
        <a:prstGeom prst="leftArrowCallout">
          <a:avLst>
            <a:gd name="adj1" fmla="val 23611"/>
            <a:gd name="adj2" fmla="val 25000"/>
            <a:gd name="adj3" fmla="val 25000"/>
            <a:gd name="adj4" fmla="val 84594"/>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ctr" anchorCtr="0">
          <a:noAutofit/>
        </a:bodyPr>
        <a:lstStyle/>
        <a:p>
          <a:pPr algn="l"/>
          <a:r>
            <a:rPr kumimoji="1" lang="ja-JP" altLang="en-US" sz="1100"/>
            <a:t>年齢判定基準日は４月１日</a:t>
          </a:r>
          <a:endParaRPr kumimoji="1" lang="en-US" altLang="ja-JP"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6FFFF"/>
    <pageSetUpPr fitToPage="1"/>
  </sheetPr>
  <dimension ref="A1"/>
  <sheetViews>
    <sheetView windowProtection="1" view="pageBreakPreview" zoomScale="85" zoomScaleNormal="100" zoomScaleSheetLayoutView="85" workbookViewId="0">
      <selection activeCell="K19" sqref="A1:XFD1048576"/>
    </sheetView>
  </sheetViews>
  <sheetFormatPr defaultRowHeight="13" x14ac:dyDescent="0.2"/>
  <sheetData/>
  <sheetProtection algorithmName="SHA-512" hashValue="eL/3l68Arpw3IDkWqSx5Ym9pTC0pw9peAMLkBEKmFCzbkl86dydEUxyrwUNpdvRSIQaBSq3kcO5FK38H2azEdw==" saltValue="dlejkffspp88/G13sPqYOw==" spinCount="100000" sheet="1" objects="1" scenarios="1" selectLockedCells="1" selectUnlockedCells="1"/>
  <phoneticPr fontId="1"/>
  <pageMargins left="0.25" right="0.25" top="0.75" bottom="0.75" header="0.3" footer="0.3"/>
  <pageSetup paperSize="8" scale="99"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66FFFF"/>
    <pageSetUpPr fitToPage="1"/>
  </sheetPr>
  <dimension ref="B1:AL50"/>
  <sheetViews>
    <sheetView windowProtection="1" tabSelected="1" view="pageBreakPreview" zoomScale="70" zoomScaleNormal="40" zoomScaleSheetLayoutView="70" zoomScalePageLayoutView="25" workbookViewId="0">
      <selection activeCell="M21" sqref="M21"/>
    </sheetView>
  </sheetViews>
  <sheetFormatPr defaultColWidth="13" defaultRowHeight="0" customHeight="1" zeroHeight="1" x14ac:dyDescent="0.2"/>
  <cols>
    <col min="1" max="1" width="3.36328125" style="6" customWidth="1"/>
    <col min="2" max="2" width="21.08984375" style="6" customWidth="1"/>
    <col min="3" max="3" width="17.6328125" style="6" customWidth="1"/>
    <col min="4" max="4" width="8.36328125" style="6" customWidth="1"/>
    <col min="5" max="6" width="9.26953125" style="6" customWidth="1"/>
    <col min="7" max="9" width="16.36328125" style="6" customWidth="1"/>
    <col min="10" max="10" width="17.6328125" style="6" customWidth="1"/>
    <col min="11" max="13" width="15.90625" style="6" customWidth="1"/>
    <col min="14" max="14" width="29.90625" style="6" hidden="1" customWidth="1"/>
    <col min="15" max="15" width="52.7265625" style="6" hidden="1" customWidth="1"/>
    <col min="16" max="21" width="9.6328125" style="6" hidden="1" customWidth="1"/>
    <col min="22" max="24" width="10.90625" style="6" hidden="1" customWidth="1"/>
    <col min="25" max="27" width="9.6328125" style="6" hidden="1" customWidth="1"/>
    <col min="28" max="29" width="7.08984375" style="6" hidden="1" customWidth="1"/>
    <col min="30" max="30" width="9.6328125" style="6" hidden="1" customWidth="1"/>
    <col min="31" max="36" width="7.08984375" style="6" hidden="1" customWidth="1"/>
    <col min="37" max="38" width="13" style="6" hidden="1" customWidth="1"/>
    <col min="39" max="44" width="13" style="6" customWidth="1"/>
    <col min="45" max="16384" width="13" style="6"/>
  </cols>
  <sheetData>
    <row r="1" spans="2:38" ht="39.75" customHeight="1" x14ac:dyDescent="0.2"/>
    <row r="2" spans="2:38" ht="39.75" customHeight="1" x14ac:dyDescent="0.2">
      <c r="B2" s="116" t="s">
        <v>0</v>
      </c>
      <c r="C2" s="115">
        <f>基礎情報!A1</f>
        <v>46023</v>
      </c>
      <c r="D2" s="117" t="s">
        <v>1</v>
      </c>
      <c r="E2" s="147" t="str">
        <f>TEXT(DATE(YEAR(C2),4,1),"GGGE年M月D日")&amp;"～"&amp;TEXT(DATE(YEAR(C2)+1,3,31),"GGGE年M月D日")&amp;""</f>
        <v>令和8年4月1日～令和9年3月31日</v>
      </c>
      <c r="F2" s="147"/>
      <c r="G2" s="148"/>
      <c r="H2" s="148"/>
    </row>
    <row r="3" spans="2:38" ht="39.75" customHeight="1" x14ac:dyDescent="0.2"/>
    <row r="4" spans="2:38" ht="24" customHeight="1" x14ac:dyDescent="0.2">
      <c r="B4" s="44" t="s">
        <v>2</v>
      </c>
      <c r="C4" s="7"/>
      <c r="D4" s="7"/>
      <c r="E4" s="7"/>
      <c r="F4" s="7"/>
      <c r="G4" s="7"/>
      <c r="H4" s="7"/>
      <c r="I4" s="7"/>
      <c r="J4" s="7"/>
      <c r="K4" s="7"/>
      <c r="L4" s="7"/>
      <c r="M4" s="7"/>
      <c r="N4" s="7"/>
    </row>
    <row r="5" spans="2:38" ht="16.5" customHeight="1" x14ac:dyDescent="0.2"/>
    <row r="6" spans="2:38" s="43" customFormat="1" ht="22.5" customHeight="1" x14ac:dyDescent="0.2">
      <c r="B6" s="151" t="s">
        <v>3</v>
      </c>
      <c r="C6" s="152"/>
      <c r="D6" s="152"/>
      <c r="E6" s="152"/>
      <c r="F6" s="153"/>
      <c r="G6" s="143" t="s">
        <v>4</v>
      </c>
      <c r="H6" s="144"/>
      <c r="I6" s="144"/>
      <c r="J6" s="144"/>
      <c r="K6" s="144"/>
      <c r="L6" s="56"/>
      <c r="M6" s="56"/>
      <c r="N6" s="56"/>
    </row>
    <row r="7" spans="2:38" ht="16.5" customHeight="1" x14ac:dyDescent="0.2">
      <c r="J7" s="9"/>
      <c r="P7" s="86">
        <f>EOMONTH(基礎情報!$B$8,3)</f>
        <v>46142</v>
      </c>
      <c r="Q7" s="86">
        <f>EOMONTH(基礎情報!$B$8,4)</f>
        <v>46173</v>
      </c>
      <c r="R7" s="86">
        <f>EOMONTH(基礎情報!$B$8,5)</f>
        <v>46203</v>
      </c>
      <c r="S7" s="86">
        <f>EOMONTH(基礎情報!$B$8,6)</f>
        <v>46234</v>
      </c>
      <c r="T7" s="86">
        <f>EOMONTH(基礎情報!$B$8,7)</f>
        <v>46265</v>
      </c>
      <c r="U7" s="86">
        <f>EOMONTH(基礎情報!$B$8,8)</f>
        <v>46295</v>
      </c>
      <c r="V7" s="86">
        <f>EOMONTH(基礎情報!$B$8,9)</f>
        <v>46326</v>
      </c>
      <c r="W7" s="86">
        <f>EOMONTH(基礎情報!$B$8,10)</f>
        <v>46356</v>
      </c>
      <c r="X7" s="86">
        <f>EOMONTH(基礎情報!$B$8,11)</f>
        <v>46387</v>
      </c>
      <c r="Y7" s="86">
        <f>EOMONTH(基礎情報!$B$8,12)</f>
        <v>46418</v>
      </c>
      <c r="Z7" s="86">
        <f>EOMONTH(基礎情報!$B$8,13)</f>
        <v>46446</v>
      </c>
      <c r="AA7" s="86">
        <f>EOMONTH(基礎情報!$B$8,14)</f>
        <v>46477</v>
      </c>
      <c r="AB7" s="36"/>
      <c r="AC7" s="36"/>
      <c r="AD7" s="36"/>
    </row>
    <row r="8" spans="2:38" ht="32.25" customHeight="1" x14ac:dyDescent="0.2">
      <c r="B8" s="48" t="s">
        <v>5</v>
      </c>
      <c r="C8" s="48" t="s">
        <v>6</v>
      </c>
      <c r="D8" s="49" t="s">
        <v>7</v>
      </c>
      <c r="E8" s="49" t="s">
        <v>8</v>
      </c>
      <c r="F8" s="49" t="s">
        <v>9</v>
      </c>
      <c r="G8" s="48" t="s">
        <v>10</v>
      </c>
      <c r="H8" s="48" t="s">
        <v>11</v>
      </c>
      <c r="I8" s="46" t="s">
        <v>12</v>
      </c>
      <c r="J8" s="46" t="s">
        <v>13</v>
      </c>
      <c r="K8" s="48" t="s">
        <v>14</v>
      </c>
      <c r="L8" s="48" t="s">
        <v>15</v>
      </c>
      <c r="M8" s="46" t="s">
        <v>16</v>
      </c>
      <c r="N8" s="84" t="s">
        <v>17</v>
      </c>
      <c r="O8" s="83" t="s">
        <v>18</v>
      </c>
      <c r="P8" s="5" t="s">
        <v>19</v>
      </c>
      <c r="Q8" s="5" t="s">
        <v>20</v>
      </c>
      <c r="R8" s="5" t="s">
        <v>21</v>
      </c>
      <c r="S8" s="5" t="s">
        <v>22</v>
      </c>
      <c r="T8" s="5" t="s">
        <v>23</v>
      </c>
      <c r="U8" s="5" t="s">
        <v>24</v>
      </c>
      <c r="V8" s="5" t="s">
        <v>25</v>
      </c>
      <c r="W8" s="5" t="s">
        <v>26</v>
      </c>
      <c r="X8" s="5" t="s">
        <v>27</v>
      </c>
      <c r="Y8" s="5" t="s">
        <v>28</v>
      </c>
      <c r="Z8" s="5" t="s">
        <v>29</v>
      </c>
      <c r="AA8" s="5" t="s">
        <v>30</v>
      </c>
      <c r="AB8" s="5" t="s">
        <v>31</v>
      </c>
      <c r="AC8" s="5" t="s">
        <v>32</v>
      </c>
      <c r="AD8" s="123" t="s">
        <v>33</v>
      </c>
      <c r="AE8" s="6" t="s">
        <v>34</v>
      </c>
      <c r="AF8" s="6" t="s">
        <v>35</v>
      </c>
      <c r="AG8" s="6" t="s">
        <v>36</v>
      </c>
      <c r="AH8" s="6" t="s">
        <v>37</v>
      </c>
      <c r="AI8" s="6" t="s">
        <v>38</v>
      </c>
      <c r="AJ8" s="6" t="s">
        <v>39</v>
      </c>
      <c r="AK8" s="6" t="s">
        <v>40</v>
      </c>
      <c r="AL8" s="6" t="s">
        <v>41</v>
      </c>
    </row>
    <row r="9" spans="2:38" ht="18.75" customHeight="1" x14ac:dyDescent="0.2">
      <c r="B9" s="47" t="s">
        <v>42</v>
      </c>
      <c r="C9" s="66"/>
      <c r="D9" s="50" t="str">
        <f>IF(C9="","",DATEDIF(C9,基礎情報!$B$8,"Y"))</f>
        <v/>
      </c>
      <c r="E9" s="50" t="str">
        <f>IF(AA9="","",IF(AA9&lt;=6,"該当",""))</f>
        <v/>
      </c>
      <c r="F9" s="50" t="str">
        <f>IF(AA9="","",IF(AA9&gt;=19,"該当",""))</f>
        <v/>
      </c>
      <c r="G9" s="57"/>
      <c r="H9" s="51">
        <f>給与所得!E2</f>
        <v>0</v>
      </c>
      <c r="I9" s="57"/>
      <c r="J9" s="51">
        <f>年金所得!G3</f>
        <v>0</v>
      </c>
      <c r="K9" s="57"/>
      <c r="L9" s="51">
        <f>MAX(SUM(H9,J9,K9),0)-IF(N9=1,MIN(H9,100000)+MIN(J9,100000)-100000,0)</f>
        <v>0</v>
      </c>
      <c r="M9" s="51">
        <f>IF($G$6="加入する",MAX(0,$L$9-430000),0)</f>
        <v>0</v>
      </c>
      <c r="N9" s="85">
        <f>IF(AND(H9&gt;0,J9&gt;0,H9+J9&gt;100000),1,0)</f>
        <v>0</v>
      </c>
      <c r="O9" s="6" t="str">
        <f>IF(D9&lt;=64,IF(OR(G9&gt;650000,I9&gt;600000),1,""),IF(OR(G9&gt;650000,I9&gt;1100000),1,""))</f>
        <v/>
      </c>
      <c r="P9" s="8" t="str">
        <f t="shared" ref="P9:AA9" si="0">IFERROR(DATEDIF($C$9-1,P7,"Y"),"")</f>
        <v/>
      </c>
      <c r="Q9" s="8" t="str">
        <f t="shared" si="0"/>
        <v/>
      </c>
      <c r="R9" s="8" t="str">
        <f t="shared" si="0"/>
        <v/>
      </c>
      <c r="S9" s="8" t="str">
        <f t="shared" si="0"/>
        <v/>
      </c>
      <c r="T9" s="8" t="str">
        <f t="shared" si="0"/>
        <v/>
      </c>
      <c r="U9" s="8" t="str">
        <f t="shared" si="0"/>
        <v/>
      </c>
      <c r="V9" s="8" t="str">
        <f t="shared" si="0"/>
        <v/>
      </c>
      <c r="W9" s="8" t="str">
        <f t="shared" si="0"/>
        <v/>
      </c>
      <c r="X9" s="8" t="str">
        <f t="shared" si="0"/>
        <v/>
      </c>
      <c r="Y9" s="8" t="str">
        <f t="shared" si="0"/>
        <v/>
      </c>
      <c r="Z9" s="8" t="str">
        <f t="shared" si="0"/>
        <v/>
      </c>
      <c r="AA9" s="8" t="str">
        <f t="shared" si="0"/>
        <v/>
      </c>
      <c r="AB9" s="8">
        <f>IF($G$6="加入する",IF($AA9=75,COUNTIFS($P9:$AA9,"&lt;75")+1,COUNTIFS($P9:$AA9,"&lt;75")))</f>
        <v>0</v>
      </c>
      <c r="AC9" s="8">
        <f>IF($G$6="加入する",COUNTIFS($P$9:$AA$9,"&gt;=40",$P$9:$AA$9,"&lt;=64"),0)</f>
        <v>0</v>
      </c>
      <c r="AD9" s="8">
        <f>IF(F9="該当",IF($G$6="加入する",IF($AA9=75,COUNTIFS($P9:$AA9,"&lt;75")+1,COUNTIFS($P9:$AA9,"&lt;75"))),0)</f>
        <v>0</v>
      </c>
      <c r="AE9" s="6">
        <f>ROUNDUP((M9*$G$25*AB9/12),0)</f>
        <v>0</v>
      </c>
      <c r="AF9" s="6">
        <f t="shared" ref="AF9:AF16" si="1">ROUNDUP($G$27*AB9/12,0)</f>
        <v>0</v>
      </c>
      <c r="AG9" s="6">
        <f t="shared" ref="AG9:AG16" si="2">ROUNDUP((M9*$H$25*AB9/12),0)</f>
        <v>0</v>
      </c>
      <c r="AH9" s="6">
        <f>ROUNDUP($H$27*AB9/12,0)</f>
        <v>0</v>
      </c>
      <c r="AI9" s="6">
        <f t="shared" ref="AI9:AI16" si="3">ROUNDUP(M9*$I$25*AC9/12,0)</f>
        <v>0</v>
      </c>
      <c r="AJ9" s="6">
        <f t="shared" ref="AJ9:AJ16" si="4">ROUNDUP($I$27*AC9/12,0)</f>
        <v>0</v>
      </c>
      <c r="AK9" s="6">
        <f>ROUNDUP((M9*$J$25*AB9/12),0)</f>
        <v>0</v>
      </c>
      <c r="AL9" s="6">
        <f>ROUNDUP($J$27*AD9/12,0)</f>
        <v>0</v>
      </c>
    </row>
    <row r="10" spans="2:38" ht="18.75" customHeight="1" x14ac:dyDescent="0.2">
      <c r="B10" s="47" t="s">
        <v>43</v>
      </c>
      <c r="C10" s="66"/>
      <c r="D10" s="50" t="str">
        <f>IF(C10="","",DATEDIF(C10,基礎情報!$B$8,"Y"))</f>
        <v/>
      </c>
      <c r="E10" s="50" t="str">
        <f t="shared" ref="E10:E16" si="5">IF(AA10="","",IF(AA10&lt;=6,"該当",""))</f>
        <v/>
      </c>
      <c r="F10" s="50" t="str">
        <f t="shared" ref="F10:F16" si="6">IF(AA10="","",IF(AA10&gt;=19,"該当",""))</f>
        <v/>
      </c>
      <c r="G10" s="57"/>
      <c r="H10" s="51">
        <f>給与所得!K2</f>
        <v>0</v>
      </c>
      <c r="I10" s="57"/>
      <c r="J10" s="51">
        <f>年金所得!O3</f>
        <v>0</v>
      </c>
      <c r="K10" s="57"/>
      <c r="L10" s="51">
        <f>MAX(SUM(H10,J10,K10),0)-IF(N10=1,MIN(H10,100000)+MIN(J10,100000)-100000,0)</f>
        <v>0</v>
      </c>
      <c r="M10" s="51">
        <f>MAX(0,$L$10-430000)</f>
        <v>0</v>
      </c>
      <c r="N10" s="68">
        <f>IF(AND(H10&gt;0,J10&gt;0,H10+J10&gt;100000),1,0)</f>
        <v>0</v>
      </c>
      <c r="O10" s="6" t="str">
        <f t="shared" ref="O10:O16" si="7">IF(D10&lt;=64,IF(OR(G10&gt;650000,I10&gt;600000),1,""),IF(OR(G10&gt;650000,I10&gt;1100000),1,""))</f>
        <v/>
      </c>
      <c r="P10" s="8" t="str">
        <f t="shared" ref="P10:AA10" si="8">IFERROR(DATEDIF($C$10-1,P7,"Y"),"")</f>
        <v/>
      </c>
      <c r="Q10" s="8" t="str">
        <f t="shared" si="8"/>
        <v/>
      </c>
      <c r="R10" s="8" t="str">
        <f t="shared" si="8"/>
        <v/>
      </c>
      <c r="S10" s="8" t="str">
        <f t="shared" si="8"/>
        <v/>
      </c>
      <c r="T10" s="8" t="str">
        <f t="shared" si="8"/>
        <v/>
      </c>
      <c r="U10" s="8" t="str">
        <f t="shared" si="8"/>
        <v/>
      </c>
      <c r="V10" s="8" t="str">
        <f t="shared" si="8"/>
        <v/>
      </c>
      <c r="W10" s="8" t="str">
        <f t="shared" si="8"/>
        <v/>
      </c>
      <c r="X10" s="8" t="str">
        <f t="shared" si="8"/>
        <v/>
      </c>
      <c r="Y10" s="8" t="str">
        <f t="shared" si="8"/>
        <v/>
      </c>
      <c r="Z10" s="8" t="str">
        <f t="shared" si="8"/>
        <v/>
      </c>
      <c r="AA10" s="8" t="str">
        <f t="shared" si="8"/>
        <v/>
      </c>
      <c r="AB10" s="8">
        <f>IF($AA10=75,COUNTIFS($P10:$AA10,"&lt;75")+1,COUNTIFS($P10:$AA10,"&lt;75"))</f>
        <v>0</v>
      </c>
      <c r="AC10" s="8">
        <f>COUNTIFS($P$10:$AA$10,"&gt;=40",$P$10:$AA$10,"&lt;=64")</f>
        <v>0</v>
      </c>
      <c r="AD10" s="8">
        <f>IF(F10="該当",IF($AA10=75,COUNTIFS($P10:$AA10,"&lt;75")+1,COUNTIFS($P10:$AA10,"&lt;75")),0)</f>
        <v>0</v>
      </c>
      <c r="AE10" s="6">
        <f t="shared" ref="AE10:AE16" si="9">ROUNDUP((M10*$G$25*AB10/12),0)</f>
        <v>0</v>
      </c>
      <c r="AF10" s="6">
        <f t="shared" si="1"/>
        <v>0</v>
      </c>
      <c r="AG10" s="6">
        <f t="shared" si="2"/>
        <v>0</v>
      </c>
      <c r="AH10" s="6">
        <f t="shared" ref="AH10:AH16" si="10">ROUNDUP($H$27*AB10/12,0)</f>
        <v>0</v>
      </c>
      <c r="AI10" s="6">
        <f t="shared" si="3"/>
        <v>0</v>
      </c>
      <c r="AJ10" s="6">
        <f t="shared" si="4"/>
        <v>0</v>
      </c>
      <c r="AK10" s="6">
        <f t="shared" ref="AK10:AK16" si="11">ROUNDUP((M10*$J$25*AB10/12),0)</f>
        <v>0</v>
      </c>
      <c r="AL10" s="6">
        <f t="shared" ref="AL10:AL16" si="12">ROUNDUP($J$27*AD10/12,0)</f>
        <v>0</v>
      </c>
    </row>
    <row r="11" spans="2:38" ht="18.75" customHeight="1" x14ac:dyDescent="0.2">
      <c r="B11" s="47" t="s">
        <v>44</v>
      </c>
      <c r="C11" s="66"/>
      <c r="D11" s="50" t="str">
        <f>IF(C11="","",DATEDIF(C11,基礎情報!$B$8,"Y"))</f>
        <v/>
      </c>
      <c r="E11" s="50" t="str">
        <f t="shared" si="5"/>
        <v/>
      </c>
      <c r="F11" s="50" t="str">
        <f t="shared" si="6"/>
        <v/>
      </c>
      <c r="G11" s="57"/>
      <c r="H11" s="51">
        <f>給与所得!Q2</f>
        <v>0</v>
      </c>
      <c r="I11" s="57"/>
      <c r="J11" s="51">
        <f>年金所得!W3</f>
        <v>0</v>
      </c>
      <c r="K11" s="57"/>
      <c r="L11" s="51">
        <f>MAX(SUM(H11,J11,K11),0)-IF(N11=1,MIN(H11,100000)+MIN(J11,100000)-100000,0)</f>
        <v>0</v>
      </c>
      <c r="M11" s="51">
        <f>MAX(0,$L$11-430000)</f>
        <v>0</v>
      </c>
      <c r="N11" s="68">
        <f t="shared" ref="N11:N16" si="13">IF(AND(H11&gt;0,J11&gt;0,H11+J11&gt;100000),1,0)</f>
        <v>0</v>
      </c>
      <c r="O11" s="6" t="str">
        <f t="shared" si="7"/>
        <v/>
      </c>
      <c r="P11" s="8" t="str">
        <f t="shared" ref="P11:AA11" si="14">IFERROR(DATEDIF($C$11-1,P7,"Y"),"")</f>
        <v/>
      </c>
      <c r="Q11" s="8" t="str">
        <f t="shared" si="14"/>
        <v/>
      </c>
      <c r="R11" s="8" t="str">
        <f t="shared" si="14"/>
        <v/>
      </c>
      <c r="S11" s="8" t="str">
        <f t="shared" si="14"/>
        <v/>
      </c>
      <c r="T11" s="8" t="str">
        <f t="shared" si="14"/>
        <v/>
      </c>
      <c r="U11" s="8" t="str">
        <f t="shared" si="14"/>
        <v/>
      </c>
      <c r="V11" s="8" t="str">
        <f t="shared" si="14"/>
        <v/>
      </c>
      <c r="W11" s="8" t="str">
        <f t="shared" si="14"/>
        <v/>
      </c>
      <c r="X11" s="8" t="str">
        <f t="shared" si="14"/>
        <v/>
      </c>
      <c r="Y11" s="8" t="str">
        <f t="shared" si="14"/>
        <v/>
      </c>
      <c r="Z11" s="8" t="str">
        <f t="shared" si="14"/>
        <v/>
      </c>
      <c r="AA11" s="8" t="str">
        <f t="shared" si="14"/>
        <v/>
      </c>
      <c r="AB11" s="8">
        <f t="shared" ref="AB11:AB16" si="15">IF($AA11=75,COUNTIFS($P11:$AA11,"&lt;75")+1,COUNTIFS($P11:$AA11,"&lt;75"))</f>
        <v>0</v>
      </c>
      <c r="AC11" s="8">
        <f>COUNTIFS($P$11:$AA$11,"&gt;=40",$P$11:$AA$11,"&lt;=64")</f>
        <v>0</v>
      </c>
      <c r="AD11" s="8">
        <f t="shared" ref="AD11:AD16" si="16">IF(F11="該当",IF($AA11=75,COUNTIFS($P11:$AA11,"&lt;75")+1,COUNTIFS($P11:$AA11,"&lt;75")),0)</f>
        <v>0</v>
      </c>
      <c r="AE11" s="6">
        <f t="shared" si="9"/>
        <v>0</v>
      </c>
      <c r="AF11" s="6">
        <f t="shared" si="1"/>
        <v>0</v>
      </c>
      <c r="AG11" s="6">
        <f t="shared" si="2"/>
        <v>0</v>
      </c>
      <c r="AH11" s="6">
        <f t="shared" si="10"/>
        <v>0</v>
      </c>
      <c r="AI11" s="6">
        <f t="shared" si="3"/>
        <v>0</v>
      </c>
      <c r="AJ11" s="6">
        <f t="shared" si="4"/>
        <v>0</v>
      </c>
      <c r="AK11" s="6">
        <f t="shared" si="11"/>
        <v>0</v>
      </c>
      <c r="AL11" s="6">
        <f t="shared" si="12"/>
        <v>0</v>
      </c>
    </row>
    <row r="12" spans="2:38" ht="18.75" customHeight="1" x14ac:dyDescent="0.2">
      <c r="B12" s="47" t="s">
        <v>45</v>
      </c>
      <c r="C12" s="66"/>
      <c r="D12" s="50" t="str">
        <f>IF(C12="","",DATEDIF(C12,基礎情報!$B$8,"Y"))</f>
        <v/>
      </c>
      <c r="E12" s="50" t="str">
        <f t="shared" si="5"/>
        <v/>
      </c>
      <c r="F12" s="50" t="str">
        <f t="shared" si="6"/>
        <v/>
      </c>
      <c r="G12" s="57"/>
      <c r="H12" s="51">
        <f>給与所得!W2</f>
        <v>0</v>
      </c>
      <c r="I12" s="57"/>
      <c r="J12" s="51">
        <f>年金所得!AE3</f>
        <v>0</v>
      </c>
      <c r="K12" s="57"/>
      <c r="L12" s="51">
        <f t="shared" ref="L12:L16" si="17">MAX(SUM(H12,J12,K12),0)-IF(N12=1,MIN(H12,100000)+MIN(J12,100000)-100000,0)</f>
        <v>0</v>
      </c>
      <c r="M12" s="51">
        <f>MAX(0,$L$12-430000)</f>
        <v>0</v>
      </c>
      <c r="N12" s="68">
        <f t="shared" si="13"/>
        <v>0</v>
      </c>
      <c r="O12" s="6" t="str">
        <f t="shared" si="7"/>
        <v/>
      </c>
      <c r="P12" s="8" t="str">
        <f t="shared" ref="P12:AA12" si="18">IFERROR(DATEDIF($C$12-1,P7,"Y"),"")</f>
        <v/>
      </c>
      <c r="Q12" s="8" t="str">
        <f t="shared" si="18"/>
        <v/>
      </c>
      <c r="R12" s="8" t="str">
        <f t="shared" si="18"/>
        <v/>
      </c>
      <c r="S12" s="8" t="str">
        <f t="shared" si="18"/>
        <v/>
      </c>
      <c r="T12" s="8" t="str">
        <f t="shared" si="18"/>
        <v/>
      </c>
      <c r="U12" s="8" t="str">
        <f t="shared" si="18"/>
        <v/>
      </c>
      <c r="V12" s="8" t="str">
        <f t="shared" si="18"/>
        <v/>
      </c>
      <c r="W12" s="8" t="str">
        <f t="shared" si="18"/>
        <v/>
      </c>
      <c r="X12" s="8" t="str">
        <f t="shared" si="18"/>
        <v/>
      </c>
      <c r="Y12" s="8" t="str">
        <f t="shared" si="18"/>
        <v/>
      </c>
      <c r="Z12" s="8" t="str">
        <f t="shared" si="18"/>
        <v/>
      </c>
      <c r="AA12" s="8" t="str">
        <f t="shared" si="18"/>
        <v/>
      </c>
      <c r="AB12" s="8">
        <f t="shared" si="15"/>
        <v>0</v>
      </c>
      <c r="AC12" s="8">
        <f>COUNTIFS($P$12:$AA$12,"&gt;=40",$P$12:$AA$12,"&lt;=64")</f>
        <v>0</v>
      </c>
      <c r="AD12" s="8">
        <f t="shared" si="16"/>
        <v>0</v>
      </c>
      <c r="AE12" s="6">
        <f t="shared" si="9"/>
        <v>0</v>
      </c>
      <c r="AF12" s="6">
        <f t="shared" si="1"/>
        <v>0</v>
      </c>
      <c r="AG12" s="6">
        <f t="shared" si="2"/>
        <v>0</v>
      </c>
      <c r="AH12" s="6">
        <f t="shared" si="10"/>
        <v>0</v>
      </c>
      <c r="AI12" s="6">
        <f t="shared" si="3"/>
        <v>0</v>
      </c>
      <c r="AJ12" s="6">
        <f t="shared" si="4"/>
        <v>0</v>
      </c>
      <c r="AK12" s="6">
        <f t="shared" si="11"/>
        <v>0</v>
      </c>
      <c r="AL12" s="6">
        <f>ROUNDUP($J$27*AD12/12,0)</f>
        <v>0</v>
      </c>
    </row>
    <row r="13" spans="2:38" ht="18.75" customHeight="1" x14ac:dyDescent="0.2">
      <c r="B13" s="47" t="s">
        <v>46</v>
      </c>
      <c r="C13" s="66"/>
      <c r="D13" s="50" t="str">
        <f>IF(C13="","",DATEDIF(C13,基礎情報!$B$8,"Y"))</f>
        <v/>
      </c>
      <c r="E13" s="50" t="str">
        <f t="shared" si="5"/>
        <v/>
      </c>
      <c r="F13" s="50" t="str">
        <f t="shared" si="6"/>
        <v/>
      </c>
      <c r="G13" s="57"/>
      <c r="H13" s="51">
        <f>給与所得!E17</f>
        <v>0</v>
      </c>
      <c r="I13" s="57"/>
      <c r="J13" s="51">
        <f>年金所得!AM3</f>
        <v>0</v>
      </c>
      <c r="K13" s="57"/>
      <c r="L13" s="51">
        <f t="shared" si="17"/>
        <v>0</v>
      </c>
      <c r="M13" s="51">
        <f>MAX(0,$L$13-430000)</f>
        <v>0</v>
      </c>
      <c r="N13" s="68">
        <f t="shared" si="13"/>
        <v>0</v>
      </c>
      <c r="O13" s="6" t="str">
        <f t="shared" si="7"/>
        <v/>
      </c>
      <c r="P13" s="8" t="str">
        <f t="shared" ref="P13:AA13" si="19">IFERROR(DATEDIF($C$13-1,P7,"Y"),"")</f>
        <v/>
      </c>
      <c r="Q13" s="8" t="str">
        <f t="shared" si="19"/>
        <v/>
      </c>
      <c r="R13" s="8" t="str">
        <f t="shared" si="19"/>
        <v/>
      </c>
      <c r="S13" s="8" t="str">
        <f t="shared" si="19"/>
        <v/>
      </c>
      <c r="T13" s="8" t="str">
        <f t="shared" si="19"/>
        <v/>
      </c>
      <c r="U13" s="8" t="str">
        <f t="shared" si="19"/>
        <v/>
      </c>
      <c r="V13" s="8" t="str">
        <f t="shared" si="19"/>
        <v/>
      </c>
      <c r="W13" s="8" t="str">
        <f t="shared" si="19"/>
        <v/>
      </c>
      <c r="X13" s="8" t="str">
        <f t="shared" si="19"/>
        <v/>
      </c>
      <c r="Y13" s="8" t="str">
        <f t="shared" si="19"/>
        <v/>
      </c>
      <c r="Z13" s="8" t="str">
        <f t="shared" si="19"/>
        <v/>
      </c>
      <c r="AA13" s="8" t="str">
        <f t="shared" si="19"/>
        <v/>
      </c>
      <c r="AB13" s="8">
        <f>IF($AA13=75,COUNTIFS($P13:$AA13,"&lt;75")+1,COUNTIFS($P13:$AA13,"&lt;75"))</f>
        <v>0</v>
      </c>
      <c r="AC13" s="8">
        <f>COUNTIFS($P$13:$AA$13,"&gt;=40",$P$13:$AA$13,"&lt;=64")</f>
        <v>0</v>
      </c>
      <c r="AD13" s="8">
        <f t="shared" si="16"/>
        <v>0</v>
      </c>
      <c r="AE13" s="6">
        <f t="shared" si="9"/>
        <v>0</v>
      </c>
      <c r="AF13" s="6">
        <f t="shared" si="1"/>
        <v>0</v>
      </c>
      <c r="AG13" s="6">
        <f t="shared" si="2"/>
        <v>0</v>
      </c>
      <c r="AH13" s="6">
        <f t="shared" si="10"/>
        <v>0</v>
      </c>
      <c r="AI13" s="6">
        <f t="shared" si="3"/>
        <v>0</v>
      </c>
      <c r="AJ13" s="6">
        <f t="shared" si="4"/>
        <v>0</v>
      </c>
      <c r="AK13" s="6">
        <f t="shared" si="11"/>
        <v>0</v>
      </c>
      <c r="AL13" s="6">
        <f t="shared" si="12"/>
        <v>0</v>
      </c>
    </row>
    <row r="14" spans="2:38" ht="18.75" customHeight="1" x14ac:dyDescent="0.2">
      <c r="B14" s="47" t="s">
        <v>47</v>
      </c>
      <c r="C14" s="66"/>
      <c r="D14" s="50" t="str">
        <f>IF(C14="","",DATEDIF(C14,基礎情報!$B$8,"Y"))</f>
        <v/>
      </c>
      <c r="E14" s="50" t="str">
        <f t="shared" si="5"/>
        <v/>
      </c>
      <c r="F14" s="50" t="str">
        <f t="shared" si="6"/>
        <v/>
      </c>
      <c r="G14" s="57"/>
      <c r="H14" s="51">
        <f>給与所得!K17</f>
        <v>0</v>
      </c>
      <c r="I14" s="57"/>
      <c r="J14" s="51">
        <f>年金所得!$AU$3</f>
        <v>0</v>
      </c>
      <c r="K14" s="57"/>
      <c r="L14" s="51">
        <f t="shared" si="17"/>
        <v>0</v>
      </c>
      <c r="M14" s="51">
        <f>MAX(0,$L$14-430000)</f>
        <v>0</v>
      </c>
      <c r="N14" s="68">
        <f t="shared" si="13"/>
        <v>0</v>
      </c>
      <c r="O14" s="6" t="str">
        <f t="shared" si="7"/>
        <v/>
      </c>
      <c r="P14" s="8" t="str">
        <f t="shared" ref="P14:AA14" si="20">IFERROR(DATEDIF($C$14-1,P7,"Y"),"")</f>
        <v/>
      </c>
      <c r="Q14" s="8" t="str">
        <f t="shared" si="20"/>
        <v/>
      </c>
      <c r="R14" s="8" t="str">
        <f t="shared" si="20"/>
        <v/>
      </c>
      <c r="S14" s="8" t="str">
        <f t="shared" si="20"/>
        <v/>
      </c>
      <c r="T14" s="8" t="str">
        <f t="shared" si="20"/>
        <v/>
      </c>
      <c r="U14" s="8" t="str">
        <f t="shared" si="20"/>
        <v/>
      </c>
      <c r="V14" s="8" t="str">
        <f t="shared" si="20"/>
        <v/>
      </c>
      <c r="W14" s="8" t="str">
        <f t="shared" si="20"/>
        <v/>
      </c>
      <c r="X14" s="8" t="str">
        <f t="shared" si="20"/>
        <v/>
      </c>
      <c r="Y14" s="8" t="str">
        <f t="shared" si="20"/>
        <v/>
      </c>
      <c r="Z14" s="8" t="str">
        <f t="shared" si="20"/>
        <v/>
      </c>
      <c r="AA14" s="8" t="str">
        <f t="shared" si="20"/>
        <v/>
      </c>
      <c r="AB14" s="8">
        <f t="shared" si="15"/>
        <v>0</v>
      </c>
      <c r="AC14" s="8">
        <f>COUNTIFS($P$14:$AA$14,"&gt;=40",$P$14:$AA$14,"&lt;=64")</f>
        <v>0</v>
      </c>
      <c r="AD14" s="8">
        <f t="shared" si="16"/>
        <v>0</v>
      </c>
      <c r="AE14" s="6">
        <f t="shared" si="9"/>
        <v>0</v>
      </c>
      <c r="AF14" s="6">
        <f t="shared" si="1"/>
        <v>0</v>
      </c>
      <c r="AG14" s="6">
        <f t="shared" si="2"/>
        <v>0</v>
      </c>
      <c r="AH14" s="6">
        <f t="shared" si="10"/>
        <v>0</v>
      </c>
      <c r="AI14" s="6">
        <f t="shared" si="3"/>
        <v>0</v>
      </c>
      <c r="AJ14" s="6">
        <f t="shared" si="4"/>
        <v>0</v>
      </c>
      <c r="AK14" s="6">
        <f t="shared" si="11"/>
        <v>0</v>
      </c>
      <c r="AL14" s="6">
        <f t="shared" si="12"/>
        <v>0</v>
      </c>
    </row>
    <row r="15" spans="2:38" ht="18.75" customHeight="1" x14ac:dyDescent="0.2">
      <c r="B15" s="47" t="s">
        <v>48</v>
      </c>
      <c r="C15" s="66"/>
      <c r="D15" s="50" t="str">
        <f>IF(C15="","",DATEDIF(C15,基礎情報!$B$8,"Y"))</f>
        <v/>
      </c>
      <c r="E15" s="50" t="str">
        <f t="shared" si="5"/>
        <v/>
      </c>
      <c r="F15" s="50" t="str">
        <f t="shared" si="6"/>
        <v/>
      </c>
      <c r="G15" s="57"/>
      <c r="H15" s="51">
        <f>給与所得!Q17</f>
        <v>0</v>
      </c>
      <c r="I15" s="57"/>
      <c r="J15" s="51">
        <f>年金所得!BC3</f>
        <v>0</v>
      </c>
      <c r="K15" s="57"/>
      <c r="L15" s="51">
        <f t="shared" si="17"/>
        <v>0</v>
      </c>
      <c r="M15" s="51">
        <f>MAX(0,$L$15-430000)</f>
        <v>0</v>
      </c>
      <c r="N15" s="68">
        <f t="shared" si="13"/>
        <v>0</v>
      </c>
      <c r="O15" s="6" t="str">
        <f t="shared" si="7"/>
        <v/>
      </c>
      <c r="P15" s="8" t="str">
        <f t="shared" ref="P15:AA15" si="21">IFERROR(DATEDIF($C$15-1,P7,"Y"),"")</f>
        <v/>
      </c>
      <c r="Q15" s="8" t="str">
        <f t="shared" si="21"/>
        <v/>
      </c>
      <c r="R15" s="8" t="str">
        <f t="shared" si="21"/>
        <v/>
      </c>
      <c r="S15" s="8" t="str">
        <f t="shared" si="21"/>
        <v/>
      </c>
      <c r="T15" s="8" t="str">
        <f t="shared" si="21"/>
        <v/>
      </c>
      <c r="U15" s="8" t="str">
        <f t="shared" si="21"/>
        <v/>
      </c>
      <c r="V15" s="8" t="str">
        <f t="shared" si="21"/>
        <v/>
      </c>
      <c r="W15" s="8" t="str">
        <f t="shared" si="21"/>
        <v/>
      </c>
      <c r="X15" s="8" t="str">
        <f t="shared" si="21"/>
        <v/>
      </c>
      <c r="Y15" s="8" t="str">
        <f t="shared" si="21"/>
        <v/>
      </c>
      <c r="Z15" s="8" t="str">
        <f t="shared" si="21"/>
        <v/>
      </c>
      <c r="AA15" s="8" t="str">
        <f t="shared" si="21"/>
        <v/>
      </c>
      <c r="AB15" s="8">
        <f t="shared" si="15"/>
        <v>0</v>
      </c>
      <c r="AC15" s="8">
        <f>COUNTIFS($P$15:$AA$15,"&gt;=40",$P$15:$AA$15,"&lt;=64")</f>
        <v>0</v>
      </c>
      <c r="AD15" s="8">
        <f t="shared" si="16"/>
        <v>0</v>
      </c>
      <c r="AE15" s="6">
        <f t="shared" si="9"/>
        <v>0</v>
      </c>
      <c r="AF15" s="6">
        <f t="shared" si="1"/>
        <v>0</v>
      </c>
      <c r="AG15" s="6">
        <f t="shared" si="2"/>
        <v>0</v>
      </c>
      <c r="AH15" s="6">
        <f t="shared" si="10"/>
        <v>0</v>
      </c>
      <c r="AI15" s="6">
        <f t="shared" si="3"/>
        <v>0</v>
      </c>
      <c r="AJ15" s="6">
        <f t="shared" si="4"/>
        <v>0</v>
      </c>
      <c r="AK15" s="6">
        <f t="shared" si="11"/>
        <v>0</v>
      </c>
      <c r="AL15" s="6">
        <f t="shared" si="12"/>
        <v>0</v>
      </c>
    </row>
    <row r="16" spans="2:38" ht="18.75" customHeight="1" x14ac:dyDescent="0.2">
      <c r="B16" s="47" t="s">
        <v>49</v>
      </c>
      <c r="C16" s="66"/>
      <c r="D16" s="50" t="str">
        <f>IF(C16="","",DATEDIF(C16,基礎情報!$B$8,"Y"))</f>
        <v/>
      </c>
      <c r="E16" s="50" t="str">
        <f t="shared" si="5"/>
        <v/>
      </c>
      <c r="F16" s="50" t="str">
        <f t="shared" si="6"/>
        <v/>
      </c>
      <c r="G16" s="57"/>
      <c r="H16" s="51">
        <f>給与所得!W17</f>
        <v>0</v>
      </c>
      <c r="I16" s="57"/>
      <c r="J16" s="51">
        <f>年金所得!BK3</f>
        <v>0</v>
      </c>
      <c r="K16" s="57"/>
      <c r="L16" s="51">
        <f t="shared" si="17"/>
        <v>0</v>
      </c>
      <c r="M16" s="51">
        <f>MAX(0,$L$16-430000)</f>
        <v>0</v>
      </c>
      <c r="N16" s="68">
        <f t="shared" si="13"/>
        <v>0</v>
      </c>
      <c r="O16" s="6" t="str">
        <f t="shared" si="7"/>
        <v/>
      </c>
      <c r="P16" s="8" t="str">
        <f t="shared" ref="P16:AA16" si="22">IFERROR(DATEDIF($C$16-1,P7,"Y"),"")</f>
        <v/>
      </c>
      <c r="Q16" s="8" t="str">
        <f t="shared" si="22"/>
        <v/>
      </c>
      <c r="R16" s="8" t="str">
        <f t="shared" si="22"/>
        <v/>
      </c>
      <c r="S16" s="8" t="str">
        <f t="shared" si="22"/>
        <v/>
      </c>
      <c r="T16" s="8" t="str">
        <f t="shared" si="22"/>
        <v/>
      </c>
      <c r="U16" s="8" t="str">
        <f t="shared" si="22"/>
        <v/>
      </c>
      <c r="V16" s="8" t="str">
        <f t="shared" si="22"/>
        <v/>
      </c>
      <c r="W16" s="8" t="str">
        <f t="shared" si="22"/>
        <v/>
      </c>
      <c r="X16" s="8" t="str">
        <f t="shared" si="22"/>
        <v/>
      </c>
      <c r="Y16" s="8" t="str">
        <f t="shared" si="22"/>
        <v/>
      </c>
      <c r="Z16" s="8" t="str">
        <f t="shared" si="22"/>
        <v/>
      </c>
      <c r="AA16" s="8" t="str">
        <f t="shared" si="22"/>
        <v/>
      </c>
      <c r="AB16" s="8">
        <f t="shared" si="15"/>
        <v>0</v>
      </c>
      <c r="AC16" s="8">
        <f>COUNTIFS($P$16:$AA$16,"&gt;=40",$P$16:$AA$16,"&lt;=64")</f>
        <v>0</v>
      </c>
      <c r="AD16" s="8">
        <f t="shared" si="16"/>
        <v>0</v>
      </c>
      <c r="AE16" s="6">
        <f t="shared" si="9"/>
        <v>0</v>
      </c>
      <c r="AF16" s="6">
        <f t="shared" si="1"/>
        <v>0</v>
      </c>
      <c r="AG16" s="6">
        <f t="shared" si="2"/>
        <v>0</v>
      </c>
      <c r="AH16" s="6">
        <f t="shared" si="10"/>
        <v>0</v>
      </c>
      <c r="AI16" s="6">
        <f t="shared" si="3"/>
        <v>0</v>
      </c>
      <c r="AJ16" s="6">
        <f t="shared" si="4"/>
        <v>0</v>
      </c>
      <c r="AK16" s="6">
        <f t="shared" si="11"/>
        <v>0</v>
      </c>
      <c r="AL16" s="6">
        <f t="shared" si="12"/>
        <v>0</v>
      </c>
    </row>
    <row r="17" spans="2:19" ht="16.5" customHeight="1" x14ac:dyDescent="0.2"/>
    <row r="18" spans="2:19" ht="23.25" customHeight="1" x14ac:dyDescent="0.2">
      <c r="B18" s="44" t="s">
        <v>50</v>
      </c>
      <c r="C18" s="7"/>
      <c r="D18" s="7"/>
      <c r="E18" s="7"/>
      <c r="F18" s="7"/>
      <c r="G18" s="7"/>
      <c r="H18" s="7"/>
      <c r="I18" s="7"/>
      <c r="J18" s="7"/>
      <c r="K18" s="7"/>
      <c r="L18" s="7"/>
      <c r="M18" s="7"/>
      <c r="N18" s="7"/>
    </row>
    <row r="19" spans="2:19" ht="9.75" customHeight="1" x14ac:dyDescent="0.2"/>
    <row r="20" spans="2:19" ht="27" customHeight="1" x14ac:dyDescent="0.2">
      <c r="B20" s="111">
        <f>基礎情報!A1</f>
        <v>46023</v>
      </c>
      <c r="C20" s="110" t="s">
        <v>51</v>
      </c>
      <c r="E20" s="145" t="str">
        <f>IF($C$9="","",SUM(G42:J42))</f>
        <v/>
      </c>
      <c r="F20" s="145"/>
      <c r="G20" s="145"/>
      <c r="H20" s="145"/>
      <c r="I20" s="145"/>
      <c r="J20" s="112" t="s">
        <v>52</v>
      </c>
    </row>
    <row r="21" spans="2:19" ht="27" customHeight="1" x14ac:dyDescent="0.2">
      <c r="B21" s="38"/>
      <c r="E21" s="146" t="str">
        <f>IFERROR(ROUNDUP($E$20/12,0),"")</f>
        <v/>
      </c>
      <c r="F21" s="146"/>
      <c r="G21" s="146"/>
      <c r="H21" s="146"/>
      <c r="I21" s="146"/>
      <c r="J21" s="39"/>
    </row>
    <row r="22" spans="2:19" ht="142.5" customHeight="1" thickBot="1" x14ac:dyDescent="0.25">
      <c r="B22" s="38"/>
      <c r="G22" s="42"/>
      <c r="H22" s="42"/>
      <c r="I22" s="42"/>
      <c r="J22" s="39"/>
    </row>
    <row r="23" spans="2:19" ht="35.25" customHeight="1" x14ac:dyDescent="0.2">
      <c r="B23" s="149" t="s">
        <v>53</v>
      </c>
      <c r="C23" s="150"/>
      <c r="D23" s="150"/>
      <c r="E23" s="150"/>
      <c r="F23" s="150"/>
      <c r="G23" s="64" t="s">
        <v>54</v>
      </c>
      <c r="H23" s="65" t="s">
        <v>55</v>
      </c>
      <c r="I23" s="64" t="s">
        <v>56</v>
      </c>
      <c r="J23" s="124" t="s">
        <v>57</v>
      </c>
      <c r="K23" s="37"/>
      <c r="L23" s="37"/>
      <c r="M23" s="37"/>
      <c r="N23" s="37"/>
    </row>
    <row r="24" spans="2:19" ht="35.25" customHeight="1" x14ac:dyDescent="0.2">
      <c r="B24" s="139" t="s">
        <v>58</v>
      </c>
      <c r="C24" s="140"/>
      <c r="D24" s="140"/>
      <c r="E24" s="140"/>
      <c r="F24" s="140"/>
      <c r="G24" s="45">
        <f>SUM($M$9:$M$16)</f>
        <v>0</v>
      </c>
      <c r="H24" s="45">
        <f>SUM($M$9:$M$16)</f>
        <v>0</v>
      </c>
      <c r="I24" s="45">
        <f>SUMIFS($M$9:$M$16,AC9:AC16,"&gt;0")</f>
        <v>0</v>
      </c>
      <c r="J24" s="58">
        <f>SUM($M$9:$M$16)</f>
        <v>0</v>
      </c>
      <c r="K24" s="37"/>
      <c r="L24" s="37"/>
      <c r="M24" s="37"/>
      <c r="N24" s="37"/>
    </row>
    <row r="25" spans="2:19" ht="35.25" customHeight="1" x14ac:dyDescent="0.2">
      <c r="B25" s="135" t="s">
        <v>59</v>
      </c>
      <c r="C25" s="136"/>
      <c r="D25" s="136"/>
      <c r="E25" s="136"/>
      <c r="F25" s="136"/>
      <c r="G25" s="52">
        <f>基礎情報!$B$3</f>
        <v>8.4500000000000006E-2</v>
      </c>
      <c r="H25" s="52">
        <f>基礎情報!$C$3</f>
        <v>2.9000000000000001E-2</v>
      </c>
      <c r="I25" s="52">
        <f>基礎情報!$D$3</f>
        <v>2.5000000000000001E-2</v>
      </c>
      <c r="J25" s="59">
        <f>基礎情報!$E$3</f>
        <v>2.5000000000000001E-3</v>
      </c>
      <c r="K25" s="37"/>
      <c r="L25" s="37"/>
      <c r="M25" s="37"/>
      <c r="N25" s="37"/>
      <c r="P25" s="9"/>
      <c r="Q25" s="9"/>
      <c r="R25" s="9"/>
    </row>
    <row r="26" spans="2:19" ht="35.25" customHeight="1" x14ac:dyDescent="0.2">
      <c r="B26" s="139" t="s">
        <v>60</v>
      </c>
      <c r="C26" s="140"/>
      <c r="D26" s="140"/>
      <c r="E26" s="140"/>
      <c r="F26" s="140"/>
      <c r="G26" s="45">
        <f>ROUNDDOWN(SUM($AE$9:$AE$16),0)</f>
        <v>0</v>
      </c>
      <c r="H26" s="45">
        <f>ROUNDDOWN(SUM($AG$9:$AG$16),0)</f>
        <v>0</v>
      </c>
      <c r="I26" s="45">
        <f>ROUNDDOWN(SUM($AI$9:$AI$16),0)</f>
        <v>0</v>
      </c>
      <c r="J26" s="58">
        <f>ROUNDDOWN(SUM($AK$9:$AK$16),0)</f>
        <v>0</v>
      </c>
      <c r="K26" s="37"/>
      <c r="L26" s="37"/>
      <c r="M26" s="37"/>
      <c r="N26" s="37"/>
      <c r="P26" s="40"/>
      <c r="Q26" s="40"/>
      <c r="R26" s="40"/>
    </row>
    <row r="27" spans="2:19" ht="35.25" customHeight="1" x14ac:dyDescent="0.2">
      <c r="B27" s="135" t="s">
        <v>61</v>
      </c>
      <c r="C27" s="136"/>
      <c r="D27" s="136"/>
      <c r="E27" s="136"/>
      <c r="F27" s="136"/>
      <c r="G27" s="45">
        <f>基礎情報!$B$4</f>
        <v>37000</v>
      </c>
      <c r="H27" s="45">
        <f>基礎情報!$C$4</f>
        <v>12000</v>
      </c>
      <c r="I27" s="45">
        <f>基礎情報!$D$4</f>
        <v>13000</v>
      </c>
      <c r="J27" s="58">
        <f>基礎情報!$E$4</f>
        <v>1100</v>
      </c>
      <c r="K27" s="37"/>
      <c r="L27" s="37"/>
      <c r="M27" s="37"/>
      <c r="N27" s="37"/>
      <c r="P27" s="9"/>
      <c r="Q27" s="9"/>
      <c r="R27" s="9"/>
    </row>
    <row r="28" spans="2:19" ht="35.25" customHeight="1" x14ac:dyDescent="0.2">
      <c r="B28" s="135" t="s">
        <v>62</v>
      </c>
      <c r="C28" s="136"/>
      <c r="D28" s="136"/>
      <c r="E28" s="136"/>
      <c r="F28" s="136"/>
      <c r="G28" s="45">
        <f>COUNTIFS($AB$9:$AB$16,"&gt;0")</f>
        <v>0</v>
      </c>
      <c r="H28" s="45">
        <f>COUNTIFS($AB$9:$AB$16,"&gt;0")</f>
        <v>0</v>
      </c>
      <c r="I28" s="45">
        <f>COUNTIFS($AC$9:$AC$16,"&gt;0")</f>
        <v>0</v>
      </c>
      <c r="J28" s="58">
        <f>COUNTIFS($AD$9:$AD$16,"&gt;0")</f>
        <v>0</v>
      </c>
      <c r="K28" s="37"/>
      <c r="L28" s="37"/>
      <c r="M28" s="37"/>
      <c r="N28" s="37"/>
      <c r="P28" s="9"/>
      <c r="Q28" s="9"/>
      <c r="R28" s="9"/>
    </row>
    <row r="29" spans="2:19" ht="35.25" customHeight="1" x14ac:dyDescent="0.2">
      <c r="B29" s="139" t="s">
        <v>63</v>
      </c>
      <c r="C29" s="140"/>
      <c r="D29" s="140"/>
      <c r="E29" s="140"/>
      <c r="F29" s="140"/>
      <c r="G29" s="45">
        <f>ROUNDUP(SUM($AF$9:$AF$16),0)</f>
        <v>0</v>
      </c>
      <c r="H29" s="45">
        <f>ROUNDUP(SUM($AH$9:$AH$16),0)</f>
        <v>0</v>
      </c>
      <c r="I29" s="45">
        <f>ROUNDUP(SUM($AJ$9:$AJ$16),0)</f>
        <v>0</v>
      </c>
      <c r="J29" s="58">
        <f>ROUNDUP(SUM($AL$9:$AL$16),0)</f>
        <v>0</v>
      </c>
      <c r="K29" s="37"/>
      <c r="L29" s="37"/>
      <c r="M29" s="37"/>
      <c r="N29" s="37"/>
      <c r="P29" s="9"/>
      <c r="Q29" s="9"/>
      <c r="R29" s="9"/>
      <c r="S29" s="67"/>
    </row>
    <row r="30" spans="2:19" ht="35.25" customHeight="1" x14ac:dyDescent="0.2">
      <c r="B30" s="135" t="s">
        <v>64</v>
      </c>
      <c r="C30" s="136"/>
      <c r="D30" s="136"/>
      <c r="E30" s="136"/>
      <c r="F30" s="136"/>
      <c r="G30" s="45">
        <f>基礎情報!$B$5</f>
        <v>23000</v>
      </c>
      <c r="H30" s="45">
        <f>基礎情報!$C$5</f>
        <v>7000</v>
      </c>
      <c r="I30" s="45">
        <f>基礎情報!$D$5*MAX($AC$9:$AC$16)/12</f>
        <v>0</v>
      </c>
      <c r="J30" s="58">
        <f>基礎情報!$E$5</f>
        <v>800</v>
      </c>
      <c r="K30" s="37"/>
      <c r="L30" s="37"/>
      <c r="M30" s="37"/>
      <c r="N30" s="37"/>
      <c r="P30" s="41"/>
      <c r="Q30" s="41"/>
      <c r="R30" s="41"/>
      <c r="S30" s="67"/>
    </row>
    <row r="31" spans="2:19" ht="35.25" customHeight="1" x14ac:dyDescent="0.2">
      <c r="B31" s="135" t="s">
        <v>65</v>
      </c>
      <c r="C31" s="136"/>
      <c r="D31" s="136"/>
      <c r="E31" s="136"/>
      <c r="F31" s="136"/>
      <c r="G31" s="45">
        <f>SUM($G$26,$G$29,$G$30)</f>
        <v>23000</v>
      </c>
      <c r="H31" s="45">
        <f>SUM($H$26,$H$29,$H$30)</f>
        <v>7000</v>
      </c>
      <c r="I31" s="45">
        <f>SUM($I$26,$I$29,$I$30)</f>
        <v>0</v>
      </c>
      <c r="J31" s="58">
        <f>SUM($J$26,$J$29,$J$30)</f>
        <v>800</v>
      </c>
      <c r="K31" s="37"/>
      <c r="L31" s="37"/>
      <c r="M31" s="37"/>
      <c r="N31" s="37"/>
      <c r="P31" s="9"/>
      <c r="Q31" s="9"/>
      <c r="R31" s="9"/>
      <c r="S31" s="67"/>
    </row>
    <row r="32" spans="2:19" ht="35.25" customHeight="1" x14ac:dyDescent="0.2">
      <c r="B32" s="141" t="s">
        <v>66</v>
      </c>
      <c r="C32" s="142" t="s">
        <v>67</v>
      </c>
      <c r="D32" s="142"/>
      <c r="E32" s="142"/>
      <c r="F32" s="142"/>
      <c r="G32" s="53">
        <f>$L$9-IF($D$9&gt;=65,MIN($J$9,150000),0)
+$L$10-IF($D$10&gt;=65,MIN($J$10,150000),0)
+$L$11-IF($D$11&gt;=65,MIN($J$11,150000),0)
+$L$12-IF($D$12&gt;=65,MIN($J$12,150000),0)
+$L$13-IF($D$13&gt;=65,MIN($J$13,150000),0)
+$L$14-IF($D$14&gt;=65,MIN($J$14,150000),0)
+$L$15-IF($D$15&gt;=65,MIN($J$15,150000),0)
+$L$16-IF($D$16&gt;=65,MIN($J$16,150000),0)</f>
        <v>0</v>
      </c>
      <c r="H32" s="53">
        <f>$L$9-IF($D$9&gt;=65,MIN($J$9,150000),0)
+$L$10-IF($D$10&gt;=65,MIN($J$10,150000),0)
+$L$11-IF($D$11&gt;=65,MIN($J$11,150000),0)
+$L$12-IF($D$12&gt;=65,MIN($J$12,150000),0)
+$L$13-IF($D$13&gt;=65,MIN($J$13,150000),0)
+$L$14-IF($D$14&gt;=65,MIN($J$14,150000),0)
+$L$15-IF($D$15&gt;=65,MIN($J$15,150000),0)
+$L$16-IF($D$16&gt;=65,MIN($J$16,150000),0)</f>
        <v>0</v>
      </c>
      <c r="I32" s="53">
        <f>$L$9-IF($D$9&gt;=65,MIN($J$9,150000),0)
+$L$10-IF($D$10&gt;=65,MIN($J$10,150000),0)
+$L$11-IF($D$11&gt;=65,MIN($J$11,150000),0)
+$L$12-IF($D$12&gt;=65,MIN($J$12,150000),0)
+$L$13-IF($D$13&gt;=65,MIN($J$13,150000),0)
+$L$14-IF($D$14&gt;=65,MIN($J$14,150000),0)
+$L$15-IF($D$15&gt;=65,MIN($J$15,150000),0)
+$L$16-IF($D$16&gt;=65,MIN($J$16,150000),0)</f>
        <v>0</v>
      </c>
      <c r="J32" s="60">
        <f>$L$9-IF($D$9&gt;=65,MIN($J$9,150000),0)
+$L$10-IF($D$10&gt;=65,MIN($J$10,150000),0)
+$L$11-IF($D$11&gt;=65,MIN($J$11,150000),0)
+$L$12-IF($D$12&gt;=65,MIN($J$12,150000),0)
+$L$13-IF($D$13&gt;=65,MIN($J$13,150000),0)
+$L$14-IF($D$14&gt;=65,MIN($J$14,150000),0)
+$L$15-IF($D$15&gt;=65,MIN($J$15,150000),0)
+$L$16-IF($D$16&gt;=65,MIN($J$16,150000),0)</f>
        <v>0</v>
      </c>
      <c r="K32" s="37"/>
      <c r="L32" s="37"/>
      <c r="M32" s="37"/>
      <c r="N32" s="37"/>
      <c r="P32" s="9"/>
      <c r="Q32" s="9"/>
      <c r="R32" s="9"/>
      <c r="S32" s="67"/>
    </row>
    <row r="33" spans="2:19" ht="35.25" customHeight="1" x14ac:dyDescent="0.2">
      <c r="B33" s="141"/>
      <c r="C33" s="142" t="s">
        <v>68</v>
      </c>
      <c r="D33" s="142"/>
      <c r="E33" s="142"/>
      <c r="F33" s="142"/>
      <c r="G33" s="54">
        <f>SUM($O$9:$O$16)</f>
        <v>0</v>
      </c>
      <c r="H33" s="54">
        <f t="shared" ref="H33" si="23">SUM($O$9:$O$16)</f>
        <v>0</v>
      </c>
      <c r="I33" s="54">
        <f>SUM($O$9:$O$16)</f>
        <v>0</v>
      </c>
      <c r="J33" s="61">
        <f>SUM($O$9:$O$16)</f>
        <v>0</v>
      </c>
      <c r="K33" s="37"/>
      <c r="L33" s="37"/>
      <c r="M33" s="37"/>
      <c r="N33" s="37"/>
      <c r="P33" s="9"/>
      <c r="Q33" s="9"/>
      <c r="R33" s="9"/>
      <c r="S33" s="67"/>
    </row>
    <row r="34" spans="2:19" ht="35.25" customHeight="1" x14ac:dyDescent="0.2">
      <c r="B34" s="141"/>
      <c r="C34" s="142" t="s">
        <v>69</v>
      </c>
      <c r="D34" s="142"/>
      <c r="E34" s="142"/>
      <c r="F34" s="142"/>
      <c r="G34" s="54">
        <f>IF($G$6="加入する",1,0)+COUNTIFS($AB$10:$AB$16,"&gt;0")</f>
        <v>1</v>
      </c>
      <c r="H34" s="54">
        <f>IF($G$6="加入する",1,0)+COUNTIFS($AB$10:$AB$16,"&gt;0")</f>
        <v>1</v>
      </c>
      <c r="I34" s="54">
        <f>IF($G$6="加入する",IF($AJ$9&gt;0,1,0),0)+COUNTIFS($AJ$10:$AJ$16,"&gt;0")</f>
        <v>0</v>
      </c>
      <c r="J34" s="61">
        <f>IF($G$6="加入する",1,0)+COUNTIFS($AD$10:$AD$16,"&gt;0")</f>
        <v>1</v>
      </c>
      <c r="K34" s="37"/>
      <c r="L34" s="37"/>
      <c r="M34" s="37"/>
      <c r="N34" s="37"/>
    </row>
    <row r="35" spans="2:19" ht="35.25" customHeight="1" x14ac:dyDescent="0.2">
      <c r="B35" s="141"/>
      <c r="C35" s="142" t="s">
        <v>70</v>
      </c>
      <c r="D35" s="142"/>
      <c r="E35" s="142"/>
      <c r="F35" s="142"/>
      <c r="G35" s="54">
        <f>COUNTIF($E$9:$E$16,"該当")</f>
        <v>0</v>
      </c>
      <c r="H35" s="54">
        <f>COUNTIF($E$9:$E$16,"該当")</f>
        <v>0</v>
      </c>
      <c r="I35" s="118"/>
      <c r="J35" s="62"/>
      <c r="K35" s="37"/>
      <c r="L35" s="37"/>
      <c r="M35" s="37"/>
      <c r="N35" s="37"/>
    </row>
    <row r="36" spans="2:19" ht="35.25" customHeight="1" x14ac:dyDescent="0.2">
      <c r="B36" s="141"/>
      <c r="C36" s="142" t="s">
        <v>71</v>
      </c>
      <c r="D36" s="142"/>
      <c r="E36" s="142"/>
      <c r="F36" s="142"/>
      <c r="G36" s="55">
        <f>IF($G$28=0,0,VLOOKUP($G$32,軽減判定!$C$4:$F$7,4,TRUE))</f>
        <v>0</v>
      </c>
      <c r="H36" s="55">
        <f>IF($H$28=0,0,VLOOKUP($H$32,軽減判定!$C$4:$F$7,4,TRUE))</f>
        <v>0</v>
      </c>
      <c r="I36" s="55">
        <f>IF($I$28=0,0,VLOOKUP($I$32,軽減判定!$C$4:$F$7,4,TRUE))</f>
        <v>0</v>
      </c>
      <c r="J36" s="63">
        <f>IF($J$28=0,0,VLOOKUP($J$32,軽減判定!$C$4:$F$7,4,TRUE))</f>
        <v>0</v>
      </c>
      <c r="K36" s="37"/>
      <c r="L36" s="37"/>
      <c r="M36" s="37"/>
      <c r="N36" s="37"/>
    </row>
    <row r="37" spans="2:19" ht="35.25" customHeight="1" x14ac:dyDescent="0.2">
      <c r="B37" s="141"/>
      <c r="C37" s="142" t="s">
        <v>72</v>
      </c>
      <c r="D37" s="142"/>
      <c r="E37" s="142"/>
      <c r="F37" s="142"/>
      <c r="G37" s="53">
        <f>ROUNDUP(($G$29*G36)+($G$27*(1-$G$36)*$G$35/2),0)</f>
        <v>0</v>
      </c>
      <c r="H37" s="53">
        <f>ROUNDUP(($H$29*$H$36)+$H$27*(1-$H$36)*H35/2,0)</f>
        <v>0</v>
      </c>
      <c r="I37" s="53">
        <f>ROUNDUP($I$29*$I$36,0)</f>
        <v>0</v>
      </c>
      <c r="J37" s="60">
        <f>ROUNDUP(($J$29*$J$36),0)</f>
        <v>0</v>
      </c>
      <c r="K37" s="37"/>
      <c r="L37" s="37"/>
      <c r="M37" s="37"/>
      <c r="N37" s="37"/>
    </row>
    <row r="38" spans="2:19" ht="35.25" customHeight="1" x14ac:dyDescent="0.2">
      <c r="B38" s="141"/>
      <c r="C38" s="142" t="s">
        <v>73</v>
      </c>
      <c r="D38" s="142"/>
      <c r="E38" s="142"/>
      <c r="F38" s="142"/>
      <c r="G38" s="53">
        <f>ROUNDUP($G$30*$G$36,0)</f>
        <v>0</v>
      </c>
      <c r="H38" s="53">
        <f>ROUNDUP($H$30*$H$36,0)</f>
        <v>0</v>
      </c>
      <c r="I38" s="53">
        <f>ROUNDUP($I$30*$I$36,0)</f>
        <v>0</v>
      </c>
      <c r="J38" s="60">
        <f>ROUNDUP($J$30*$J$36,0)</f>
        <v>0</v>
      </c>
      <c r="K38" s="37"/>
      <c r="L38" s="37"/>
      <c r="M38" s="37"/>
      <c r="N38" s="37"/>
    </row>
    <row r="39" spans="2:19" ht="35.25" customHeight="1" x14ac:dyDescent="0.2">
      <c r="B39" s="135" t="s">
        <v>74</v>
      </c>
      <c r="C39" s="136"/>
      <c r="D39" s="136"/>
      <c r="E39" s="136"/>
      <c r="F39" s="136"/>
      <c r="G39" s="45">
        <f>$G$31-$G$37-$G$38</f>
        <v>23000</v>
      </c>
      <c r="H39" s="45">
        <f>$H$31-$H$37-$H$38</f>
        <v>7000</v>
      </c>
      <c r="I39" s="45">
        <f>($I$31-$I$37-$I$38)</f>
        <v>0</v>
      </c>
      <c r="J39" s="58">
        <f>$J$31-$J$37-$J$38</f>
        <v>800</v>
      </c>
      <c r="K39" s="37"/>
      <c r="L39" s="37"/>
      <c r="M39" s="37"/>
      <c r="N39" s="37"/>
    </row>
    <row r="40" spans="2:19" ht="35.25" customHeight="1" x14ac:dyDescent="0.2">
      <c r="B40" s="135" t="s">
        <v>75</v>
      </c>
      <c r="C40" s="136"/>
      <c r="D40" s="136"/>
      <c r="E40" s="136"/>
      <c r="F40" s="136"/>
      <c r="G40" s="45">
        <f>基礎情報!$B$6</f>
        <v>670000</v>
      </c>
      <c r="H40" s="45">
        <f>基礎情報!$C$6</f>
        <v>260000</v>
      </c>
      <c r="I40" s="45">
        <f>基礎情報!$D$6</f>
        <v>170000</v>
      </c>
      <c r="J40" s="58">
        <f>基礎情報!$E$6</f>
        <v>30000</v>
      </c>
      <c r="K40" s="37"/>
      <c r="L40" s="37"/>
      <c r="M40" s="37"/>
      <c r="N40" s="37"/>
    </row>
    <row r="41" spans="2:19" ht="35.25" customHeight="1" x14ac:dyDescent="0.2">
      <c r="B41" s="135" t="s">
        <v>76</v>
      </c>
      <c r="C41" s="136"/>
      <c r="D41" s="136"/>
      <c r="E41" s="136"/>
      <c r="F41" s="136"/>
      <c r="G41" s="119">
        <f>MAX($G$39-$G$40,0)</f>
        <v>0</v>
      </c>
      <c r="H41" s="119">
        <f>MAX($H$39-$H$40,0)</f>
        <v>0</v>
      </c>
      <c r="I41" s="119">
        <f>MAX($I$39-$I$40,0)</f>
        <v>0</v>
      </c>
      <c r="J41" s="120">
        <f>MAX($J$39-$J$40,0)</f>
        <v>0</v>
      </c>
      <c r="K41" s="37"/>
      <c r="L41" s="37"/>
      <c r="M41" s="37"/>
      <c r="N41" s="37"/>
    </row>
    <row r="42" spans="2:19" ht="35.25" customHeight="1" thickBot="1" x14ac:dyDescent="0.25">
      <c r="B42" s="137" t="s">
        <v>77</v>
      </c>
      <c r="C42" s="138"/>
      <c r="D42" s="138"/>
      <c r="E42" s="138"/>
      <c r="F42" s="138"/>
      <c r="G42" s="121" t="str">
        <f>IF($C$9="","",ROUNDDOWN($G$39-$G$41,-2))</f>
        <v/>
      </c>
      <c r="H42" s="121" t="str">
        <f>IF($C$9="","",ROUNDDOWN($H$39-$H$41,-2))</f>
        <v/>
      </c>
      <c r="I42" s="121" t="str">
        <f>IF($C$9="","",ROUNDDOWN($I$39-$I$41,-2))</f>
        <v/>
      </c>
      <c r="J42" s="122" t="str">
        <f>IF($C$9="","",ROUNDDOWN($J$39-$J$41,-2))</f>
        <v/>
      </c>
      <c r="K42" s="37"/>
      <c r="L42" s="37"/>
      <c r="M42" s="37"/>
      <c r="N42" s="37"/>
    </row>
    <row r="43" spans="2:19" ht="24.75" customHeight="1" x14ac:dyDescent="0.2">
      <c r="J43" s="9"/>
      <c r="K43" s="37"/>
      <c r="L43" s="37"/>
      <c r="M43" s="37"/>
      <c r="N43" s="37"/>
    </row>
    <row r="44" spans="2:19" ht="16.5" customHeight="1" x14ac:dyDescent="0.2"/>
    <row r="45" spans="2:19" ht="16.5" customHeight="1" x14ac:dyDescent="0.2"/>
    <row r="46" spans="2:19" ht="16.5" customHeight="1" x14ac:dyDescent="0.2"/>
    <row r="47" spans="2:19" ht="16.5" customHeight="1" x14ac:dyDescent="0.2"/>
    <row r="48" spans="2:19" ht="16.5" hidden="1" customHeight="1" x14ac:dyDescent="0.2"/>
    <row r="49" ht="16.5" hidden="1" customHeight="1" x14ac:dyDescent="0.2"/>
    <row r="50" ht="16.5" hidden="1" customHeight="1" x14ac:dyDescent="0.2"/>
  </sheetData>
  <sheetProtection selectLockedCells="1"/>
  <protectedRanges>
    <protectedRange sqref="I9:I16 K9:K16 C14:C16 G9:G16" name="範囲1"/>
    <protectedRange sqref="C9:C13" name="範囲1_1"/>
  </protectedRanges>
  <dataConsolidate/>
  <mergeCells count="26">
    <mergeCell ref="G6:K6"/>
    <mergeCell ref="E20:I20"/>
    <mergeCell ref="E21:I21"/>
    <mergeCell ref="E2:H2"/>
    <mergeCell ref="B23:F23"/>
    <mergeCell ref="B6:F6"/>
    <mergeCell ref="B24:F24"/>
    <mergeCell ref="B25:F25"/>
    <mergeCell ref="B26:F26"/>
    <mergeCell ref="B27:F27"/>
    <mergeCell ref="B28:F28"/>
    <mergeCell ref="B39:F39"/>
    <mergeCell ref="B40:F40"/>
    <mergeCell ref="B41:F41"/>
    <mergeCell ref="B42:F42"/>
    <mergeCell ref="B29:F29"/>
    <mergeCell ref="B30:F30"/>
    <mergeCell ref="B31:F31"/>
    <mergeCell ref="B32:B38"/>
    <mergeCell ref="C32:F32"/>
    <mergeCell ref="C33:F33"/>
    <mergeCell ref="C34:F34"/>
    <mergeCell ref="C35:F35"/>
    <mergeCell ref="C36:F36"/>
    <mergeCell ref="C37:F37"/>
    <mergeCell ref="C38:F38"/>
  </mergeCells>
  <phoneticPr fontId="1"/>
  <conditionalFormatting sqref="I24:I42">
    <cfRule type="expression" dxfId="50" priority="2">
      <formula>$I$34=0</formula>
    </cfRule>
  </conditionalFormatting>
  <dataValidations xWindow="536" yWindow="418" count="5">
    <dataValidation type="whole" operator="greaterThanOrEqual" allowBlank="1" showInputMessage="1" showErrorMessage="1" prompt="前年中の給与所得・公的年金に係る雑所得以外の所得金額を入力してください。" sqref="K9:K16" xr:uid="{00000000-0002-0000-0100-000000000000}">
      <formula1>-9999999999</formula1>
    </dataValidation>
    <dataValidation type="whole" operator="greaterThanOrEqual" allowBlank="1" showInputMessage="1" showErrorMessage="1" prompt="前年中の給与収入を入力してください。（源泉徴収票の「支払金額」欄の金額です。給与所得は自動計算されます）" sqref="G9:G16" xr:uid="{00000000-0002-0000-0100-000001000000}">
      <formula1>0</formula1>
    </dataValidation>
    <dataValidation type="whole" operator="greaterThanOrEqual" allowBlank="1" showInputMessage="1" showErrorMessage="1" prompt="前年中の公的年金収入を入力してください。（源泉徴収票の「支払金額」欄の金額です。公的年金に係る雑所得は自動計算されます）_x000a_※個人年金はその他所得欄に入力してください。" sqref="I9:I16" xr:uid="{00000000-0002-0000-0100-000002000000}">
      <formula1>0</formula1>
    </dataValidation>
    <dataValidation type="date" operator="greaterThanOrEqual" allowBlank="1" showInputMessage="1" showErrorMessage="1" prompt="生年月日を日付形式で入力してください。_x000a_入力例：「1955/1/1」「S35.8.8」など" sqref="C9:C16" xr:uid="{00000000-0002-0000-0100-000003000000}">
      <formula1>1</formula1>
    </dataValidation>
    <dataValidation type="list" allowBlank="1" showInputMessage="1" showErrorMessage="1" prompt="世帯主が東広島市国民健康保険に加入する場合は「加入する」、加入しない場合（擬制世帯主と言います）は「加入しない」を選択してください。" sqref="G6:K6" xr:uid="{00000000-0002-0000-0100-000004000000}">
      <formula1>"加入する,加入しない"</formula1>
    </dataValidation>
  </dataValidations>
  <printOptions horizontalCentered="1" verticalCentered="1"/>
  <pageMargins left="0.23622047244094491" right="0.23622047244094491" top="0.74803149606299213" bottom="0.74803149606299213" header="0.31496062992125984" footer="0.31496062992125984"/>
  <pageSetup paperSize="9" scale="54" orientation="portrait" r:id="rId1"/>
  <headerFooter>
    <oddHeader>&amp;L&amp;"HG丸ｺﾞｼｯｸM-PRO,太字"&amp;30大崎上島町 国民健康保険税　簡易試算表&amp;R&amp;"HG丸ｺﾞｼｯｸM-PRO,標準"&amp;26作成日&amp;D　</oddHead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K29"/>
  <sheetViews>
    <sheetView windowProtection="1" view="pageBreakPreview" zoomScaleNormal="85" zoomScaleSheetLayoutView="100" workbookViewId="0">
      <selection activeCell="E13" sqref="E13"/>
    </sheetView>
  </sheetViews>
  <sheetFormatPr defaultColWidth="12.08984375" defaultRowHeight="17.25" customHeight="1" x14ac:dyDescent="0.2"/>
  <cols>
    <col min="1" max="1" width="10.6328125" customWidth="1"/>
    <col min="2" max="2" width="13" customWidth="1"/>
    <col min="3" max="4" width="10.6328125" customWidth="1"/>
    <col min="7" max="7" width="12.7265625" bestFit="1" customWidth="1"/>
  </cols>
  <sheetData>
    <row r="1" spans="1:11" ht="17.25" customHeight="1" x14ac:dyDescent="0.2">
      <c r="A1" s="154">
        <v>46023</v>
      </c>
      <c r="B1" s="155"/>
      <c r="C1" s="156" t="s">
        <v>78</v>
      </c>
      <c r="D1" s="156"/>
      <c r="E1" s="157"/>
    </row>
    <row r="2" spans="1:11" ht="17.25" customHeight="1" x14ac:dyDescent="0.2">
      <c r="A2" s="89" t="s">
        <v>5</v>
      </c>
      <c r="B2" s="88" t="s">
        <v>79</v>
      </c>
      <c r="C2" s="88" t="s">
        <v>80</v>
      </c>
      <c r="D2" s="88" t="s">
        <v>81</v>
      </c>
      <c r="E2" s="125" t="s">
        <v>135</v>
      </c>
    </row>
    <row r="3" spans="1:11" ht="17.25" customHeight="1" x14ac:dyDescent="0.2">
      <c r="A3" s="89" t="s">
        <v>82</v>
      </c>
      <c r="B3" s="104">
        <v>8.4500000000000006E-2</v>
      </c>
      <c r="C3" s="104">
        <v>2.9000000000000001E-2</v>
      </c>
      <c r="D3" s="104">
        <v>2.5000000000000001E-2</v>
      </c>
      <c r="E3" s="105">
        <v>2.5000000000000001E-3</v>
      </c>
    </row>
    <row r="4" spans="1:11" ht="17.25" customHeight="1" x14ac:dyDescent="0.2">
      <c r="A4" s="89" t="s">
        <v>83</v>
      </c>
      <c r="B4" s="106">
        <v>37000</v>
      </c>
      <c r="C4" s="106">
        <v>12000</v>
      </c>
      <c r="D4" s="106">
        <v>13000</v>
      </c>
      <c r="E4" s="107">
        <v>1100</v>
      </c>
    </row>
    <row r="5" spans="1:11" ht="17.25" customHeight="1" x14ac:dyDescent="0.2">
      <c r="A5" s="89" t="s">
        <v>84</v>
      </c>
      <c r="B5" s="106">
        <v>23000</v>
      </c>
      <c r="C5" s="106">
        <v>7000</v>
      </c>
      <c r="D5" s="106">
        <v>7000</v>
      </c>
      <c r="E5" s="107">
        <v>800</v>
      </c>
    </row>
    <row r="6" spans="1:11" ht="17.25" customHeight="1" thickBot="1" x14ac:dyDescent="0.25">
      <c r="A6" s="90" t="s">
        <v>85</v>
      </c>
      <c r="B6" s="108">
        <v>670000</v>
      </c>
      <c r="C6" s="108">
        <v>260000</v>
      </c>
      <c r="D6" s="108">
        <v>170000</v>
      </c>
      <c r="E6" s="109">
        <v>30000</v>
      </c>
      <c r="I6" t="s">
        <v>86</v>
      </c>
    </row>
    <row r="7" spans="1:11" ht="17.25" customHeight="1" thickBot="1" x14ac:dyDescent="0.25"/>
    <row r="8" spans="1:11" ht="17.25" customHeight="1" x14ac:dyDescent="0.2">
      <c r="A8" s="91" t="s">
        <v>87</v>
      </c>
      <c r="B8" s="92">
        <f>A1</f>
        <v>46023</v>
      </c>
    </row>
    <row r="9" spans="1:11" ht="17.25" customHeight="1" thickBot="1" x14ac:dyDescent="0.25">
      <c r="A9" s="93" t="s">
        <v>88</v>
      </c>
      <c r="B9" s="94">
        <v>46113</v>
      </c>
    </row>
    <row r="11" spans="1:11" ht="17.25" customHeight="1" thickBot="1" x14ac:dyDescent="0.25">
      <c r="A11" t="s">
        <v>89</v>
      </c>
    </row>
    <row r="12" spans="1:11" ht="17.25" customHeight="1" x14ac:dyDescent="0.2">
      <c r="A12" s="96" t="s">
        <v>90</v>
      </c>
      <c r="B12" s="97"/>
      <c r="C12" s="98">
        <v>1</v>
      </c>
      <c r="D12" s="98">
        <v>2</v>
      </c>
      <c r="E12" s="98">
        <v>3</v>
      </c>
      <c r="F12" s="98">
        <v>4</v>
      </c>
      <c r="G12" s="98">
        <v>5</v>
      </c>
      <c r="H12" s="98">
        <v>6</v>
      </c>
      <c r="I12" s="98">
        <v>7</v>
      </c>
      <c r="J12" s="99">
        <v>8</v>
      </c>
      <c r="K12" s="87"/>
    </row>
    <row r="13" spans="1:11" ht="17.25" customHeight="1" thickBot="1" x14ac:dyDescent="0.25">
      <c r="A13" s="100" t="s">
        <v>91</v>
      </c>
      <c r="B13" s="113" t="s">
        <v>92</v>
      </c>
      <c r="C13" s="81">
        <f>430000+(C12-1)*100000</f>
        <v>430000</v>
      </c>
      <c r="D13" s="81">
        <f t="shared" ref="D13:J13" si="0">430000+(D12-1)*100000</f>
        <v>530000</v>
      </c>
      <c r="E13" s="81">
        <f t="shared" si="0"/>
        <v>630000</v>
      </c>
      <c r="F13" s="81">
        <f t="shared" si="0"/>
        <v>730000</v>
      </c>
      <c r="G13" s="81">
        <f t="shared" si="0"/>
        <v>830000</v>
      </c>
      <c r="H13" s="81">
        <f t="shared" si="0"/>
        <v>930000</v>
      </c>
      <c r="I13" s="81">
        <f t="shared" si="0"/>
        <v>1030000</v>
      </c>
      <c r="J13" s="126">
        <f t="shared" si="0"/>
        <v>1130000</v>
      </c>
      <c r="K13" s="87"/>
    </row>
    <row r="14" spans="1:11" ht="17.25" customHeight="1" x14ac:dyDescent="0.2">
      <c r="A14" s="101" t="s">
        <v>93</v>
      </c>
      <c r="B14" s="70">
        <v>1</v>
      </c>
      <c r="C14" s="127">
        <f t="shared" ref="C14:C21" si="1">430000+($C$12-1)*100000+($A$15*B14)</f>
        <v>740000</v>
      </c>
      <c r="D14" s="127">
        <f t="shared" ref="D14:D21" si="2">430000+($D$12-1)*100000+($A$15*B14)</f>
        <v>840000</v>
      </c>
      <c r="E14" s="127" t="s">
        <v>94</v>
      </c>
      <c r="F14" s="127" t="s">
        <v>94</v>
      </c>
      <c r="G14" s="127" t="s">
        <v>94</v>
      </c>
      <c r="H14" s="127" t="s">
        <v>94</v>
      </c>
      <c r="I14" s="127" t="s">
        <v>94</v>
      </c>
      <c r="J14" s="128" t="s">
        <v>94</v>
      </c>
      <c r="K14" s="87"/>
    </row>
    <row r="15" spans="1:11" ht="17.25" customHeight="1" x14ac:dyDescent="0.2">
      <c r="A15" s="114">
        <v>310000</v>
      </c>
      <c r="B15" s="69">
        <v>2</v>
      </c>
      <c r="C15" s="2">
        <f t="shared" si="1"/>
        <v>1050000</v>
      </c>
      <c r="D15" s="2">
        <f t="shared" si="2"/>
        <v>1150000</v>
      </c>
      <c r="E15" s="2">
        <f t="shared" ref="E15:E21" si="3">430000+($E$12-1)*100000+($A$15*B15)</f>
        <v>1250000</v>
      </c>
      <c r="F15" s="2" t="s">
        <v>94</v>
      </c>
      <c r="G15" s="2" t="s">
        <v>94</v>
      </c>
      <c r="H15" s="2" t="s">
        <v>94</v>
      </c>
      <c r="I15" s="2" t="s">
        <v>94</v>
      </c>
      <c r="J15" s="129" t="s">
        <v>94</v>
      </c>
      <c r="K15" s="87"/>
    </row>
    <row r="16" spans="1:11" ht="17.25" customHeight="1" x14ac:dyDescent="0.2">
      <c r="A16" s="158" t="s">
        <v>95</v>
      </c>
      <c r="B16" s="69">
        <v>3</v>
      </c>
      <c r="C16" s="2">
        <f t="shared" si="1"/>
        <v>1360000</v>
      </c>
      <c r="D16" s="2">
        <f t="shared" si="2"/>
        <v>1460000</v>
      </c>
      <c r="E16" s="2">
        <f t="shared" si="3"/>
        <v>1560000</v>
      </c>
      <c r="F16" s="2">
        <f t="shared" ref="F16:F21" si="4">430000+($F$12-1)*100000+($A$15*B16)</f>
        <v>1660000</v>
      </c>
      <c r="G16" s="2" t="s">
        <v>94</v>
      </c>
      <c r="H16" s="2" t="s">
        <v>94</v>
      </c>
      <c r="I16" s="2" t="s">
        <v>94</v>
      </c>
      <c r="J16" s="129" t="s">
        <v>94</v>
      </c>
      <c r="K16" s="87"/>
    </row>
    <row r="17" spans="1:11" ht="17.25" customHeight="1" x14ac:dyDescent="0.2">
      <c r="A17" s="158"/>
      <c r="B17" s="69">
        <v>4</v>
      </c>
      <c r="C17" s="2">
        <f t="shared" si="1"/>
        <v>1670000</v>
      </c>
      <c r="D17" s="2">
        <f t="shared" si="2"/>
        <v>1770000</v>
      </c>
      <c r="E17" s="2">
        <f t="shared" si="3"/>
        <v>1870000</v>
      </c>
      <c r="F17" s="2">
        <f t="shared" si="4"/>
        <v>1970000</v>
      </c>
      <c r="G17" s="2">
        <f>430000+($G$12-1)*100000+($A$15*B17)</f>
        <v>2070000</v>
      </c>
      <c r="H17" s="2" t="s">
        <v>94</v>
      </c>
      <c r="I17" s="2" t="s">
        <v>94</v>
      </c>
      <c r="J17" s="129" t="s">
        <v>94</v>
      </c>
      <c r="K17" s="87"/>
    </row>
    <row r="18" spans="1:11" ht="17.25" customHeight="1" x14ac:dyDescent="0.2">
      <c r="A18" s="158"/>
      <c r="B18" s="69">
        <v>5</v>
      </c>
      <c r="C18" s="2">
        <f t="shared" si="1"/>
        <v>1980000</v>
      </c>
      <c r="D18" s="2">
        <f t="shared" si="2"/>
        <v>2080000</v>
      </c>
      <c r="E18" s="2">
        <f t="shared" si="3"/>
        <v>2180000</v>
      </c>
      <c r="F18" s="2">
        <f t="shared" si="4"/>
        <v>2280000</v>
      </c>
      <c r="G18" s="2">
        <f>430000+($G$12-1)*100000+($A$15*B18)</f>
        <v>2380000</v>
      </c>
      <c r="H18" s="2">
        <f>430000+($H$12-1)*100000+($A$15*B18)</f>
        <v>2480000</v>
      </c>
      <c r="I18" s="2" t="s">
        <v>94</v>
      </c>
      <c r="J18" s="129" t="s">
        <v>94</v>
      </c>
      <c r="K18" s="87"/>
    </row>
    <row r="19" spans="1:11" ht="17.25" customHeight="1" x14ac:dyDescent="0.2">
      <c r="A19" s="102"/>
      <c r="B19" s="69">
        <v>6</v>
      </c>
      <c r="C19" s="2">
        <f t="shared" si="1"/>
        <v>2290000</v>
      </c>
      <c r="D19" s="2">
        <f t="shared" si="2"/>
        <v>2390000</v>
      </c>
      <c r="E19" s="2">
        <f t="shared" si="3"/>
        <v>2490000</v>
      </c>
      <c r="F19" s="2">
        <f t="shared" si="4"/>
        <v>2590000</v>
      </c>
      <c r="G19" s="2">
        <f>430000+($G$12-1)*100000+($A$15*B19)</f>
        <v>2690000</v>
      </c>
      <c r="H19" s="2">
        <f>430000+($H$12-1)*100000+($A$15*B19)</f>
        <v>2790000</v>
      </c>
      <c r="I19" s="2">
        <f>430000+($I$12-1)*100000+($A$15*B19)</f>
        <v>2890000</v>
      </c>
      <c r="J19" s="129" t="s">
        <v>94</v>
      </c>
      <c r="K19" s="87"/>
    </row>
    <row r="20" spans="1:11" ht="17.25" customHeight="1" x14ac:dyDescent="0.2">
      <c r="A20" s="102"/>
      <c r="B20" s="69">
        <v>7</v>
      </c>
      <c r="C20" s="2">
        <f t="shared" si="1"/>
        <v>2600000</v>
      </c>
      <c r="D20" s="2">
        <f t="shared" si="2"/>
        <v>2700000</v>
      </c>
      <c r="E20" s="2">
        <f t="shared" si="3"/>
        <v>2800000</v>
      </c>
      <c r="F20" s="2">
        <f t="shared" si="4"/>
        <v>2900000</v>
      </c>
      <c r="G20" s="2">
        <f>430000+($G$12-1)*100000+($A$15*B20)</f>
        <v>3000000</v>
      </c>
      <c r="H20" s="2">
        <f>430000+($H$12-1)*100000+($A$15*B20)</f>
        <v>3100000</v>
      </c>
      <c r="I20" s="2">
        <f>430000+($I$12-1)*100000+($A$15*B20)</f>
        <v>3200000</v>
      </c>
      <c r="J20" s="129">
        <f>430000+($J$12-1)*100000+($A$15*B20)</f>
        <v>3300000</v>
      </c>
      <c r="K20" s="87"/>
    </row>
    <row r="21" spans="1:11" ht="17.25" customHeight="1" thickBot="1" x14ac:dyDescent="0.25">
      <c r="A21" s="103"/>
      <c r="B21" s="71">
        <v>8</v>
      </c>
      <c r="C21" s="130">
        <f t="shared" si="1"/>
        <v>2910000</v>
      </c>
      <c r="D21" s="130">
        <f t="shared" si="2"/>
        <v>3010000</v>
      </c>
      <c r="E21" s="131">
        <f t="shared" si="3"/>
        <v>3110000</v>
      </c>
      <c r="F21" s="131">
        <f t="shared" si="4"/>
        <v>3210000</v>
      </c>
      <c r="G21" s="131">
        <f>430000+($G$12-1)*100000+($A$15*B21)</f>
        <v>3310000</v>
      </c>
      <c r="H21" s="131">
        <f>430000+($H$12-1)*100000+($A$15*B21)</f>
        <v>3410000</v>
      </c>
      <c r="I21" s="131">
        <f>430000+($I$12-1)*100000+($A$15*B21)</f>
        <v>3510000</v>
      </c>
      <c r="J21" s="129">
        <f>430000+($J$12-1)*100000+($A$15*B21)</f>
        <v>3610000</v>
      </c>
      <c r="K21" s="87"/>
    </row>
    <row r="22" spans="1:11" ht="17.25" customHeight="1" x14ac:dyDescent="0.2">
      <c r="A22" s="101" t="s">
        <v>96</v>
      </c>
      <c r="B22" s="70">
        <v>1</v>
      </c>
      <c r="C22" s="127">
        <f t="shared" ref="C22:C29" si="5">430000+($C$12-1)*100000+($A$23*B22)</f>
        <v>1000000</v>
      </c>
      <c r="D22" s="127">
        <f t="shared" ref="D22:D29" si="6">430000+($D$12-1)*100000+($A$23*B22)</f>
        <v>1100000</v>
      </c>
      <c r="E22" s="127" t="s">
        <v>94</v>
      </c>
      <c r="F22" s="127" t="s">
        <v>94</v>
      </c>
      <c r="G22" s="127" t="s">
        <v>94</v>
      </c>
      <c r="H22" s="127" t="s">
        <v>94</v>
      </c>
      <c r="I22" s="127" t="s">
        <v>94</v>
      </c>
      <c r="J22" s="132" t="s">
        <v>94</v>
      </c>
      <c r="K22" s="87"/>
    </row>
    <row r="23" spans="1:11" ht="17.25" customHeight="1" x14ac:dyDescent="0.2">
      <c r="A23" s="114">
        <v>570000</v>
      </c>
      <c r="B23" s="69">
        <v>2</v>
      </c>
      <c r="C23" s="2">
        <f t="shared" si="5"/>
        <v>1570000</v>
      </c>
      <c r="D23" s="2">
        <f t="shared" si="6"/>
        <v>1670000</v>
      </c>
      <c r="E23" s="2">
        <f t="shared" ref="E23:E29" si="7">430000+($E$12-1)*100000+($A$23*B23)</f>
        <v>1770000</v>
      </c>
      <c r="F23" s="2" t="s">
        <v>94</v>
      </c>
      <c r="G23" s="2" t="s">
        <v>94</v>
      </c>
      <c r="H23" s="2" t="s">
        <v>94</v>
      </c>
      <c r="I23" s="2" t="s">
        <v>94</v>
      </c>
      <c r="J23" s="129" t="s">
        <v>94</v>
      </c>
      <c r="K23" s="87"/>
    </row>
    <row r="24" spans="1:11" ht="17.25" customHeight="1" x14ac:dyDescent="0.2">
      <c r="A24" s="158" t="s">
        <v>97</v>
      </c>
      <c r="B24" s="69">
        <v>3</v>
      </c>
      <c r="C24" s="2">
        <f t="shared" si="5"/>
        <v>2140000</v>
      </c>
      <c r="D24" s="2">
        <f t="shared" si="6"/>
        <v>2240000</v>
      </c>
      <c r="E24" s="2">
        <f t="shared" si="7"/>
        <v>2340000</v>
      </c>
      <c r="F24" s="2">
        <f t="shared" ref="F24:F29" si="8">430000+($F$12-1)*100000+($A$23*B24)</f>
        <v>2440000</v>
      </c>
      <c r="G24" s="2" t="s">
        <v>94</v>
      </c>
      <c r="H24" s="2" t="s">
        <v>94</v>
      </c>
      <c r="I24" s="2" t="s">
        <v>94</v>
      </c>
      <c r="J24" s="129" t="s">
        <v>94</v>
      </c>
      <c r="K24" s="87"/>
    </row>
    <row r="25" spans="1:11" ht="17.25" customHeight="1" x14ac:dyDescent="0.2">
      <c r="A25" s="158"/>
      <c r="B25" s="69">
        <v>4</v>
      </c>
      <c r="C25" s="2">
        <f t="shared" si="5"/>
        <v>2710000</v>
      </c>
      <c r="D25" s="2">
        <f t="shared" si="6"/>
        <v>2810000</v>
      </c>
      <c r="E25" s="2">
        <f t="shared" si="7"/>
        <v>2910000</v>
      </c>
      <c r="F25" s="2">
        <f t="shared" si="8"/>
        <v>3010000</v>
      </c>
      <c r="G25" s="2">
        <f>430000+($G$12-1)*100000+($A$23*B25)</f>
        <v>3110000</v>
      </c>
      <c r="H25" s="2" t="s">
        <v>94</v>
      </c>
      <c r="I25" s="2" t="s">
        <v>94</v>
      </c>
      <c r="J25" s="129" t="s">
        <v>94</v>
      </c>
      <c r="K25" s="87"/>
    </row>
    <row r="26" spans="1:11" ht="17.25" customHeight="1" x14ac:dyDescent="0.2">
      <c r="A26" s="158"/>
      <c r="B26" s="69">
        <v>5</v>
      </c>
      <c r="C26" s="2">
        <f t="shared" si="5"/>
        <v>3280000</v>
      </c>
      <c r="D26" s="2">
        <f t="shared" si="6"/>
        <v>3380000</v>
      </c>
      <c r="E26" s="2">
        <f t="shared" si="7"/>
        <v>3480000</v>
      </c>
      <c r="F26" s="2">
        <f t="shared" si="8"/>
        <v>3580000</v>
      </c>
      <c r="G26" s="2">
        <f>430000+($G$12-1)*100000+($A$23*B26)</f>
        <v>3680000</v>
      </c>
      <c r="H26" s="2">
        <f>430000+($H$12-1)*100000+($A$23*B26)</f>
        <v>3780000</v>
      </c>
      <c r="I26" s="2" t="s">
        <v>94</v>
      </c>
      <c r="J26" s="129" t="s">
        <v>94</v>
      </c>
      <c r="K26" s="87"/>
    </row>
    <row r="27" spans="1:11" ht="17.25" customHeight="1" x14ac:dyDescent="0.2">
      <c r="A27" s="102"/>
      <c r="B27" s="69">
        <v>6</v>
      </c>
      <c r="C27" s="2">
        <f t="shared" si="5"/>
        <v>3850000</v>
      </c>
      <c r="D27" s="2">
        <f t="shared" si="6"/>
        <v>3950000</v>
      </c>
      <c r="E27" s="2">
        <f t="shared" si="7"/>
        <v>4050000</v>
      </c>
      <c r="F27" s="2">
        <f t="shared" si="8"/>
        <v>4150000</v>
      </c>
      <c r="G27" s="2">
        <f>430000+($G$12-1)*100000+($A$23*B27)</f>
        <v>4250000</v>
      </c>
      <c r="H27" s="2">
        <f>430000+($H$12-1)*100000+($A$23*B27)</f>
        <v>4350000</v>
      </c>
      <c r="I27" s="2">
        <f>430000+($I$12-1)*100000+($A$23*B27)</f>
        <v>4450000</v>
      </c>
      <c r="J27" s="129" t="s">
        <v>94</v>
      </c>
      <c r="K27" s="87"/>
    </row>
    <row r="28" spans="1:11" ht="17.25" customHeight="1" x14ac:dyDescent="0.2">
      <c r="A28" s="102"/>
      <c r="B28" s="69">
        <v>7</v>
      </c>
      <c r="C28" s="2">
        <f t="shared" si="5"/>
        <v>4420000</v>
      </c>
      <c r="D28" s="2">
        <f t="shared" si="6"/>
        <v>4520000</v>
      </c>
      <c r="E28" s="2">
        <f t="shared" si="7"/>
        <v>4620000</v>
      </c>
      <c r="F28" s="2">
        <f t="shared" si="8"/>
        <v>4720000</v>
      </c>
      <c r="G28" s="2">
        <f>430000+($G$12-1)*100000+($A$23*B28)</f>
        <v>4820000</v>
      </c>
      <c r="H28" s="2">
        <f>430000+($H$12-1)*100000+($A$23*B28)</f>
        <v>4920000</v>
      </c>
      <c r="I28" s="2">
        <f>430000+($I$12-1)*100000+($A$23*B28)</f>
        <v>5020000</v>
      </c>
      <c r="J28" s="129">
        <f>430000+($J$12-1)*100000+($A$23*B28)</f>
        <v>5120000</v>
      </c>
    </row>
    <row r="29" spans="1:11" ht="17.25" customHeight="1" thickBot="1" x14ac:dyDescent="0.25">
      <c r="A29" s="103"/>
      <c r="B29" s="71">
        <v>8</v>
      </c>
      <c r="C29" s="133">
        <f t="shared" si="5"/>
        <v>4990000</v>
      </c>
      <c r="D29" s="133">
        <f t="shared" si="6"/>
        <v>5090000</v>
      </c>
      <c r="E29" s="133">
        <f t="shared" si="7"/>
        <v>5190000</v>
      </c>
      <c r="F29" s="133">
        <f t="shared" si="8"/>
        <v>5290000</v>
      </c>
      <c r="G29" s="133">
        <f>430000+($G$12-1)*100000+($A$23*B29)</f>
        <v>5390000</v>
      </c>
      <c r="H29" s="133">
        <f>430000+($H$12-1)*100000+($A$23*B29)</f>
        <v>5490000</v>
      </c>
      <c r="I29" s="133">
        <f>430000+($I$12-1)*100000+($A$23*B29)</f>
        <v>5590000</v>
      </c>
      <c r="J29" s="134">
        <f>430000+($J$12-1)*100000+($A$23*B29)</f>
        <v>5690000</v>
      </c>
    </row>
  </sheetData>
  <mergeCells count="4">
    <mergeCell ref="A1:B1"/>
    <mergeCell ref="C1:E1"/>
    <mergeCell ref="A16:A18"/>
    <mergeCell ref="A24:A26"/>
  </mergeCells>
  <phoneticPr fontId="1"/>
  <pageMargins left="0.7" right="0.7" top="0.75" bottom="0.75" header="0.3" footer="0.3"/>
  <pageSetup paperSize="9" scale="7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18"/>
  <sheetViews>
    <sheetView windowProtection="1" workbookViewId="0">
      <selection activeCell="E6" sqref="E6"/>
    </sheetView>
  </sheetViews>
  <sheetFormatPr defaultColWidth="9" defaultRowHeight="17.25" customHeight="1" x14ac:dyDescent="0.2"/>
  <cols>
    <col min="1" max="2" width="11" bestFit="1" customWidth="1"/>
    <col min="3" max="3" width="11" customWidth="1"/>
    <col min="4" max="4" width="3.36328125" bestFit="1" customWidth="1"/>
    <col min="5" max="6" width="11" bestFit="1" customWidth="1"/>
  </cols>
  <sheetData>
    <row r="1" spans="1:6" ht="37.5" customHeight="1" x14ac:dyDescent="0.2">
      <c r="A1" s="72" t="s">
        <v>98</v>
      </c>
      <c r="B1" s="73">
        <f>【令和8年度】大崎上島町国民健康保険税試算!G33</f>
        <v>0</v>
      </c>
      <c r="C1" s="72" t="s">
        <v>99</v>
      </c>
      <c r="D1" s="74">
        <f>【令和8年度】大崎上島町国民健康保険税試算!$G$34</f>
        <v>1</v>
      </c>
    </row>
    <row r="2" spans="1:6" ht="17.25" customHeight="1" thickBot="1" x14ac:dyDescent="0.25"/>
    <row r="3" spans="1:6" ht="17.25" customHeight="1" x14ac:dyDescent="0.2">
      <c r="A3" s="76" t="s">
        <v>100</v>
      </c>
      <c r="B3" s="77" t="s">
        <v>101</v>
      </c>
      <c r="C3" s="159" t="s">
        <v>102</v>
      </c>
      <c r="D3" s="160"/>
      <c r="E3" s="161"/>
      <c r="F3" s="78" t="s">
        <v>103</v>
      </c>
    </row>
    <row r="4" spans="1:6" ht="17.25" customHeight="1" x14ac:dyDescent="0.2">
      <c r="A4" s="95">
        <f>基礎情報!$C$13</f>
        <v>430000</v>
      </c>
      <c r="B4" s="2">
        <v>0</v>
      </c>
      <c r="C4" s="2">
        <v>0</v>
      </c>
      <c r="D4" s="2" t="s">
        <v>104</v>
      </c>
      <c r="E4" s="2">
        <f>$A$4</f>
        <v>430000</v>
      </c>
      <c r="F4" s="79">
        <v>0.7</v>
      </c>
    </row>
    <row r="5" spans="1:6" ht="17.25" customHeight="1" x14ac:dyDescent="0.2">
      <c r="A5" s="95"/>
      <c r="B5" s="2">
        <f>基礎情報!$A$15</f>
        <v>310000</v>
      </c>
      <c r="C5" s="2">
        <f>E4+1</f>
        <v>430001</v>
      </c>
      <c r="D5" s="2"/>
      <c r="E5" s="2">
        <f>A4+((MAX(($B$1-1),0)*100000)+($B$5*$D$1))</f>
        <v>740000</v>
      </c>
      <c r="F5" s="79">
        <v>0.5</v>
      </c>
    </row>
    <row r="6" spans="1:6" ht="17.25" customHeight="1" x14ac:dyDescent="0.2">
      <c r="A6" s="95"/>
      <c r="B6" s="2">
        <f>基礎情報!$A$23</f>
        <v>570000</v>
      </c>
      <c r="C6" s="2">
        <f>E5+1</f>
        <v>740001</v>
      </c>
      <c r="D6" s="2"/>
      <c r="E6" s="2">
        <f>$A$4+((MAX(($B$1-1),0)*100000+($B$6*$D$1)))</f>
        <v>1000000</v>
      </c>
      <c r="F6" s="79">
        <v>0.2</v>
      </c>
    </row>
    <row r="7" spans="1:6" ht="17.25" customHeight="1" thickBot="1" x14ac:dyDescent="0.25">
      <c r="A7" s="80"/>
      <c r="B7" s="81" t="s">
        <v>92</v>
      </c>
      <c r="C7" s="81">
        <f>E6+1</f>
        <v>1000001</v>
      </c>
      <c r="D7" s="81"/>
      <c r="E7" s="81">
        <v>99999999</v>
      </c>
      <c r="F7" s="82">
        <v>0</v>
      </c>
    </row>
    <row r="8" spans="1:6" ht="17.25" customHeight="1" x14ac:dyDescent="0.2">
      <c r="A8" s="4"/>
      <c r="B8" s="4"/>
      <c r="C8" s="4"/>
      <c r="D8" s="4"/>
      <c r="E8" s="4"/>
      <c r="F8" s="75"/>
    </row>
    <row r="9" spans="1:6" ht="17.25" customHeight="1" x14ac:dyDescent="0.2">
      <c r="A9" s="4"/>
      <c r="B9" s="4"/>
      <c r="C9" s="4"/>
      <c r="D9" s="4"/>
      <c r="E9" s="4"/>
      <c r="F9" s="75"/>
    </row>
    <row r="10" spans="1:6" ht="17.25" customHeight="1" x14ac:dyDescent="0.2">
      <c r="A10" s="4"/>
      <c r="B10" s="4"/>
      <c r="C10" s="4"/>
      <c r="D10" s="4"/>
      <c r="E10" s="4"/>
      <c r="F10" s="75"/>
    </row>
    <row r="11" spans="1:6" ht="17.25" customHeight="1" x14ac:dyDescent="0.2">
      <c r="A11" s="4"/>
      <c r="B11" s="4"/>
      <c r="C11" s="4"/>
      <c r="D11" s="4"/>
      <c r="E11" s="4"/>
      <c r="F11" s="75"/>
    </row>
    <row r="12" spans="1:6" ht="17.25" customHeight="1" x14ac:dyDescent="0.2">
      <c r="A12" s="4"/>
      <c r="B12" s="4"/>
      <c r="C12" s="4"/>
      <c r="D12" s="4"/>
      <c r="E12" s="4"/>
      <c r="F12" s="75"/>
    </row>
    <row r="13" spans="1:6" ht="17.25" customHeight="1" x14ac:dyDescent="0.2">
      <c r="A13" s="4"/>
      <c r="B13" s="4"/>
      <c r="C13" s="4"/>
      <c r="D13" s="4"/>
      <c r="E13" s="4"/>
      <c r="F13" s="75"/>
    </row>
    <row r="14" spans="1:6" ht="17.25" customHeight="1" x14ac:dyDescent="0.2">
      <c r="A14" s="4"/>
      <c r="B14" s="4"/>
      <c r="C14" s="4"/>
      <c r="D14" s="4"/>
      <c r="E14" s="4"/>
      <c r="F14" s="75"/>
    </row>
    <row r="15" spans="1:6" ht="17.25" customHeight="1" x14ac:dyDescent="0.2">
      <c r="A15" s="4"/>
      <c r="B15" s="4"/>
      <c r="C15" s="4"/>
      <c r="D15" s="4"/>
      <c r="E15" s="4"/>
      <c r="F15" s="75"/>
    </row>
    <row r="16" spans="1:6" ht="17.25" customHeight="1" x14ac:dyDescent="0.2">
      <c r="A16" s="4"/>
      <c r="B16" s="4"/>
      <c r="C16" s="4"/>
      <c r="D16" s="4"/>
      <c r="E16" s="4"/>
      <c r="F16" s="75"/>
    </row>
    <row r="17" spans="1:6" ht="17.25" customHeight="1" x14ac:dyDescent="0.2">
      <c r="A17" s="4"/>
      <c r="B17" s="4"/>
      <c r="C17" s="4"/>
      <c r="D17" s="4"/>
      <c r="E17" s="4"/>
      <c r="F17" s="75"/>
    </row>
    <row r="18" spans="1:6" ht="17.25" customHeight="1" x14ac:dyDescent="0.2">
      <c r="A18" s="4"/>
      <c r="B18" s="4"/>
      <c r="C18" s="4"/>
      <c r="D18" s="4"/>
      <c r="E18" s="4"/>
      <c r="F18" s="75"/>
    </row>
  </sheetData>
  <mergeCells count="1">
    <mergeCell ref="C3:E3"/>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9"/>
  <sheetViews>
    <sheetView windowProtection="1" workbookViewId="0">
      <selection activeCell="A20" sqref="A20"/>
    </sheetView>
  </sheetViews>
  <sheetFormatPr defaultColWidth="9" defaultRowHeight="17.25" customHeight="1" x14ac:dyDescent="0.2"/>
  <cols>
    <col min="1" max="1" width="11" bestFit="1" customWidth="1"/>
    <col min="2" max="2" width="3.36328125" bestFit="1" customWidth="1"/>
    <col min="3" max="3" width="12.08984375" bestFit="1" customWidth="1"/>
    <col min="4" max="4" width="11" style="11" bestFit="1" customWidth="1"/>
    <col min="5" max="5" width="11" style="11" customWidth="1"/>
    <col min="6" max="6" width="10.36328125" style="4" bestFit="1" customWidth="1"/>
    <col min="7" max="7" width="11" bestFit="1" customWidth="1"/>
    <col min="8" max="8" width="3.36328125" bestFit="1" customWidth="1"/>
    <col min="9" max="9" width="12.08984375" bestFit="1" customWidth="1"/>
    <col min="10" max="10" width="11" style="11" bestFit="1" customWidth="1"/>
    <col min="11" max="11" width="11" style="11" customWidth="1"/>
    <col min="13" max="13" width="11" bestFit="1" customWidth="1"/>
    <col min="14" max="14" width="3.36328125" bestFit="1" customWidth="1"/>
    <col min="15" max="15" width="12.08984375" bestFit="1" customWidth="1"/>
    <col min="16" max="16" width="11" style="11" bestFit="1" customWidth="1"/>
    <col min="17" max="17" width="11" style="11" customWidth="1"/>
    <col min="19" max="19" width="11" bestFit="1" customWidth="1"/>
    <col min="20" max="20" width="3.36328125" bestFit="1" customWidth="1"/>
    <col min="21" max="21" width="12.08984375" bestFit="1" customWidth="1"/>
    <col min="22" max="22" width="11" style="11" bestFit="1" customWidth="1"/>
    <col min="23" max="23" width="11" style="11" customWidth="1"/>
  </cols>
  <sheetData>
    <row r="1" spans="1:23" ht="17.25" customHeight="1" x14ac:dyDescent="0.2">
      <c r="A1" t="s">
        <v>42</v>
      </c>
      <c r="D1" s="10" t="s">
        <v>105</v>
      </c>
      <c r="E1" s="13">
        <f>【令和8年度】大崎上島町国民健康保険税試算!G9</f>
        <v>0</v>
      </c>
      <c r="G1" t="s">
        <v>106</v>
      </c>
      <c r="J1" s="10" t="s">
        <v>105</v>
      </c>
      <c r="K1" s="13">
        <f>【令和8年度】大崎上島町国民健康保険税試算!G10</f>
        <v>0</v>
      </c>
      <c r="M1" t="s">
        <v>107</v>
      </c>
      <c r="P1" s="10" t="s">
        <v>105</v>
      </c>
      <c r="Q1" s="13">
        <f>【令和8年度】大崎上島町国民健康保険税試算!G11</f>
        <v>0</v>
      </c>
      <c r="S1" t="s">
        <v>108</v>
      </c>
      <c r="V1" s="10" t="s">
        <v>105</v>
      </c>
      <c r="W1" s="13">
        <f>【令和8年度】大崎上島町国民健康保険税試算!G12</f>
        <v>0</v>
      </c>
    </row>
    <row r="2" spans="1:23" ht="17.25" customHeight="1" x14ac:dyDescent="0.2">
      <c r="C2" s="10"/>
      <c r="D2" s="12" t="s">
        <v>109</v>
      </c>
      <c r="E2" s="29">
        <f>MAX(E4:E14)</f>
        <v>0</v>
      </c>
      <c r="I2" s="10"/>
      <c r="J2" s="12" t="s">
        <v>109</v>
      </c>
      <c r="K2" s="29">
        <f>MAX(K4:K14)</f>
        <v>0</v>
      </c>
      <c r="O2" s="10"/>
      <c r="P2" s="12" t="s">
        <v>109</v>
      </c>
      <c r="Q2" s="29">
        <f>MAX(Q4:Q14)</f>
        <v>0</v>
      </c>
      <c r="U2" s="10"/>
      <c r="V2" s="12" t="s">
        <v>109</v>
      </c>
      <c r="W2" s="29">
        <f>MAX(W4:W14)</f>
        <v>0</v>
      </c>
    </row>
    <row r="3" spans="1:23" ht="17.25" customHeight="1" x14ac:dyDescent="0.2">
      <c r="A3" s="162" t="s">
        <v>110</v>
      </c>
      <c r="B3" s="163"/>
      <c r="C3" s="164"/>
      <c r="D3" s="1" t="s">
        <v>111</v>
      </c>
      <c r="E3" s="1" t="s">
        <v>11</v>
      </c>
      <c r="F3"/>
      <c r="G3" s="162" t="s">
        <v>110</v>
      </c>
      <c r="H3" s="163"/>
      <c r="I3" s="164"/>
      <c r="J3" s="1" t="s">
        <v>111</v>
      </c>
      <c r="K3" s="1" t="s">
        <v>11</v>
      </c>
      <c r="M3" s="162" t="s">
        <v>110</v>
      </c>
      <c r="N3" s="163"/>
      <c r="O3" s="164"/>
      <c r="P3" s="1" t="s">
        <v>111</v>
      </c>
      <c r="Q3" s="1" t="s">
        <v>11</v>
      </c>
      <c r="S3" s="162" t="s">
        <v>110</v>
      </c>
      <c r="T3" s="163"/>
      <c r="U3" s="164"/>
      <c r="V3" s="1" t="s">
        <v>111</v>
      </c>
      <c r="W3" s="1" t="s">
        <v>11</v>
      </c>
    </row>
    <row r="4" spans="1:23" ht="17.25" customHeight="1" x14ac:dyDescent="0.2">
      <c r="A4" s="2">
        <v>0</v>
      </c>
      <c r="B4" s="3" t="s">
        <v>104</v>
      </c>
      <c r="C4" s="2">
        <v>649999</v>
      </c>
      <c r="D4" s="3" t="str">
        <f>IF(E1&lt;=C4,"○","")</f>
        <v>○</v>
      </c>
      <c r="E4" s="34">
        <f>IF(D4="○",0,"")</f>
        <v>0</v>
      </c>
      <c r="F4"/>
      <c r="G4" s="2">
        <v>0</v>
      </c>
      <c r="H4" s="3" t="s">
        <v>104</v>
      </c>
      <c r="I4" s="2">
        <v>649999</v>
      </c>
      <c r="J4" s="3" t="str">
        <f>IF(K1&lt;=I4,"○","")</f>
        <v>○</v>
      </c>
      <c r="K4" s="34">
        <f>IF(J4="○",0,"")</f>
        <v>0</v>
      </c>
      <c r="M4" s="2">
        <v>0</v>
      </c>
      <c r="N4" s="3" t="s">
        <v>104</v>
      </c>
      <c r="O4" s="2">
        <v>649999</v>
      </c>
      <c r="P4" s="3" t="str">
        <f>IF(Q1&lt;=O4,"○","")</f>
        <v>○</v>
      </c>
      <c r="Q4" s="34">
        <f>IF(P4="○",0,"")</f>
        <v>0</v>
      </c>
      <c r="S4" s="2">
        <v>0</v>
      </c>
      <c r="T4" s="3" t="s">
        <v>104</v>
      </c>
      <c r="U4" s="2">
        <v>649999</v>
      </c>
      <c r="V4" s="3" t="str">
        <f>IF(W1&lt;=U4,"○","")</f>
        <v>○</v>
      </c>
      <c r="W4" s="34">
        <f>IF(V4="○",0,"")</f>
        <v>0</v>
      </c>
    </row>
    <row r="5" spans="1:23" ht="17.25" customHeight="1" x14ac:dyDescent="0.2">
      <c r="A5" s="2">
        <f t="shared" ref="A5:A14" si="0">C4+1</f>
        <v>650000</v>
      </c>
      <c r="B5" s="3" t="s">
        <v>104</v>
      </c>
      <c r="C5" s="2">
        <v>1618999</v>
      </c>
      <c r="D5" s="3" t="str">
        <f>IF(AND(A5&lt;=E1,E1&lt;=C5),"○","")</f>
        <v/>
      </c>
      <c r="E5" s="34" t="str">
        <f>IF(D5="○",$E$1-650000,"")</f>
        <v/>
      </c>
      <c r="F5"/>
      <c r="G5" s="2">
        <f t="shared" ref="G5:G14" si="1">I4+1</f>
        <v>650000</v>
      </c>
      <c r="H5" s="3" t="s">
        <v>104</v>
      </c>
      <c r="I5" s="2">
        <v>1618999</v>
      </c>
      <c r="J5" s="3" t="str">
        <f>IF(AND(G5&lt;=K1,K1&lt;=I5),"○","")</f>
        <v/>
      </c>
      <c r="K5" s="34" t="str">
        <f>IF(J5="○",$K$1-650000,"")</f>
        <v/>
      </c>
      <c r="M5" s="2">
        <f t="shared" ref="M5:M14" si="2">O4+1</f>
        <v>650000</v>
      </c>
      <c r="N5" s="3" t="s">
        <v>104</v>
      </c>
      <c r="O5" s="2">
        <v>1618999</v>
      </c>
      <c r="P5" s="3" t="str">
        <f>IF(AND(M5&lt;=Q1,Q1&lt;=O5),"○","")</f>
        <v/>
      </c>
      <c r="Q5" s="34" t="str">
        <f>IF(P5="○",$Q$1-650000,"")</f>
        <v/>
      </c>
      <c r="S5" s="2">
        <f t="shared" ref="S5:S14" si="3">U4+1</f>
        <v>650000</v>
      </c>
      <c r="T5" s="3" t="s">
        <v>104</v>
      </c>
      <c r="U5" s="2">
        <v>1618999</v>
      </c>
      <c r="V5" s="3" t="str">
        <f>IF(AND(S5&lt;=W1,W1&lt;=U5),"○","")</f>
        <v/>
      </c>
      <c r="W5" s="34" t="str">
        <f>IF(V5="○",$W$1-650000,"")</f>
        <v/>
      </c>
    </row>
    <row r="6" spans="1:23" ht="17.25" customHeight="1" x14ac:dyDescent="0.2">
      <c r="A6" s="2">
        <f t="shared" si="0"/>
        <v>1619000</v>
      </c>
      <c r="B6" s="3" t="s">
        <v>104</v>
      </c>
      <c r="C6" s="2">
        <v>1619999</v>
      </c>
      <c r="D6" s="3" t="str">
        <f>IF(AND(A6&lt;=E1,E1&lt;=C6),"○","")</f>
        <v/>
      </c>
      <c r="E6" s="34" t="str">
        <f t="shared" ref="E6:E10" si="4">IF(D6="○",$E$1-650000,"")</f>
        <v/>
      </c>
      <c r="F6"/>
      <c r="G6" s="2">
        <f t="shared" si="1"/>
        <v>1619000</v>
      </c>
      <c r="H6" s="3" t="s">
        <v>104</v>
      </c>
      <c r="I6" s="2">
        <v>1619999</v>
      </c>
      <c r="J6" s="3" t="str">
        <f>IF(AND(G6&lt;=K1,K1&lt;=I6),"○","")</f>
        <v/>
      </c>
      <c r="K6" s="34" t="str">
        <f t="shared" ref="K6:K10" si="5">IF(J6="○",$K$1-650000,"")</f>
        <v/>
      </c>
      <c r="M6" s="2">
        <f t="shared" si="2"/>
        <v>1619000</v>
      </c>
      <c r="N6" s="3" t="s">
        <v>104</v>
      </c>
      <c r="O6" s="2">
        <v>1619999</v>
      </c>
      <c r="P6" s="3" t="str">
        <f>IF(AND(M6&lt;=Q1,Q1&lt;=O6),"○","")</f>
        <v/>
      </c>
      <c r="Q6" s="34" t="str">
        <f t="shared" ref="Q6:Q9" si="6">IF(P6="○",$Q$1-650000,"")</f>
        <v/>
      </c>
      <c r="S6" s="2">
        <f t="shared" si="3"/>
        <v>1619000</v>
      </c>
      <c r="T6" s="3" t="s">
        <v>104</v>
      </c>
      <c r="U6" s="2">
        <v>1619999</v>
      </c>
      <c r="V6" s="3" t="str">
        <f>IF(AND(S6&lt;=W1,W1&lt;=U6),"○","")</f>
        <v/>
      </c>
      <c r="W6" s="34" t="str">
        <f t="shared" ref="W6:W10" si="7">IF(V6="○",$W$1-650000,"")</f>
        <v/>
      </c>
    </row>
    <row r="7" spans="1:23" ht="17.25" customHeight="1" x14ac:dyDescent="0.2">
      <c r="A7" s="2">
        <f t="shared" si="0"/>
        <v>1620000</v>
      </c>
      <c r="B7" s="3" t="s">
        <v>104</v>
      </c>
      <c r="C7" s="2">
        <v>1621999</v>
      </c>
      <c r="D7" s="3" t="str">
        <f>IF(AND(A7&lt;=E1,E1&lt;=C7),"○","")</f>
        <v/>
      </c>
      <c r="E7" s="34" t="str">
        <f t="shared" si="4"/>
        <v/>
      </c>
      <c r="F7"/>
      <c r="G7" s="2">
        <f t="shared" si="1"/>
        <v>1620000</v>
      </c>
      <c r="H7" s="3" t="s">
        <v>104</v>
      </c>
      <c r="I7" s="2">
        <v>1621999</v>
      </c>
      <c r="J7" s="3" t="str">
        <f>IF(AND(G7&lt;=K1,K1&lt;=I7),"○","")</f>
        <v/>
      </c>
      <c r="K7" s="34" t="str">
        <f t="shared" si="5"/>
        <v/>
      </c>
      <c r="M7" s="2">
        <f t="shared" si="2"/>
        <v>1620000</v>
      </c>
      <c r="N7" s="3" t="s">
        <v>104</v>
      </c>
      <c r="O7" s="2">
        <v>1621999</v>
      </c>
      <c r="P7" s="3" t="str">
        <f>IF(AND(M7&lt;=Q1,Q1&lt;=O7),"○","")</f>
        <v/>
      </c>
      <c r="Q7" s="34" t="str">
        <f t="shared" si="6"/>
        <v/>
      </c>
      <c r="S7" s="2">
        <f t="shared" si="3"/>
        <v>1620000</v>
      </c>
      <c r="T7" s="3" t="s">
        <v>104</v>
      </c>
      <c r="U7" s="2">
        <v>1621999</v>
      </c>
      <c r="V7" s="3" t="str">
        <f>IF(AND(S7&lt;=W1,W1&lt;=U7),"○","")</f>
        <v/>
      </c>
      <c r="W7" s="34" t="str">
        <f t="shared" si="7"/>
        <v/>
      </c>
    </row>
    <row r="8" spans="1:23" ht="17.25" customHeight="1" x14ac:dyDescent="0.2">
      <c r="A8" s="2">
        <f t="shared" si="0"/>
        <v>1622000</v>
      </c>
      <c r="B8" s="3" t="s">
        <v>104</v>
      </c>
      <c r="C8" s="2">
        <v>1623999</v>
      </c>
      <c r="D8" s="3" t="str">
        <f>IF(AND(A8&lt;=E1,E1&lt;=C8),"○","")</f>
        <v/>
      </c>
      <c r="E8" s="34" t="str">
        <f t="shared" si="4"/>
        <v/>
      </c>
      <c r="F8"/>
      <c r="G8" s="2">
        <f t="shared" si="1"/>
        <v>1622000</v>
      </c>
      <c r="H8" s="3" t="s">
        <v>104</v>
      </c>
      <c r="I8" s="2">
        <v>1623999</v>
      </c>
      <c r="J8" s="3" t="str">
        <f>IF(AND(G8&lt;=K1,K1&lt;=I8),"○","")</f>
        <v/>
      </c>
      <c r="K8" s="34" t="str">
        <f t="shared" si="5"/>
        <v/>
      </c>
      <c r="M8" s="2">
        <f t="shared" si="2"/>
        <v>1622000</v>
      </c>
      <c r="N8" s="3" t="s">
        <v>104</v>
      </c>
      <c r="O8" s="2">
        <v>1623999</v>
      </c>
      <c r="P8" s="3" t="str">
        <f>IF(AND(M8&lt;=Q1,Q1&lt;=O8),"○","")</f>
        <v/>
      </c>
      <c r="Q8" s="34" t="str">
        <f t="shared" si="6"/>
        <v/>
      </c>
      <c r="S8" s="2">
        <f t="shared" si="3"/>
        <v>1622000</v>
      </c>
      <c r="T8" s="3" t="s">
        <v>104</v>
      </c>
      <c r="U8" s="2">
        <v>1623999</v>
      </c>
      <c r="V8" s="3" t="str">
        <f>IF(AND(S8&lt;=W1,W1&lt;=U8),"○","")</f>
        <v/>
      </c>
      <c r="W8" s="34" t="str">
        <f t="shared" si="7"/>
        <v/>
      </c>
    </row>
    <row r="9" spans="1:23" ht="17.25" customHeight="1" x14ac:dyDescent="0.2">
      <c r="A9" s="2">
        <f t="shared" si="0"/>
        <v>1624000</v>
      </c>
      <c r="B9" s="3" t="s">
        <v>104</v>
      </c>
      <c r="C9" s="2">
        <v>1627999</v>
      </c>
      <c r="D9" s="3" t="str">
        <f>IF(AND(A9&lt;=E1,E1&lt;=C9),"○","")</f>
        <v/>
      </c>
      <c r="E9" s="34" t="str">
        <f t="shared" si="4"/>
        <v/>
      </c>
      <c r="F9"/>
      <c r="G9" s="2">
        <f t="shared" si="1"/>
        <v>1624000</v>
      </c>
      <c r="H9" s="3" t="s">
        <v>104</v>
      </c>
      <c r="I9" s="2">
        <v>1627999</v>
      </c>
      <c r="J9" s="3" t="str">
        <f>IF(AND(G9&lt;=K1,K1&lt;=I9),"○","")</f>
        <v/>
      </c>
      <c r="K9" s="34" t="str">
        <f t="shared" si="5"/>
        <v/>
      </c>
      <c r="M9" s="2">
        <f t="shared" si="2"/>
        <v>1624000</v>
      </c>
      <c r="N9" s="3" t="s">
        <v>104</v>
      </c>
      <c r="O9" s="2">
        <v>1627999</v>
      </c>
      <c r="P9" s="3" t="str">
        <f>IF(AND(M9&lt;=Q1,Q1&lt;=O9),"○","")</f>
        <v/>
      </c>
      <c r="Q9" s="34" t="str">
        <f t="shared" si="6"/>
        <v/>
      </c>
      <c r="S9" s="2">
        <f t="shared" si="3"/>
        <v>1624000</v>
      </c>
      <c r="T9" s="3" t="s">
        <v>104</v>
      </c>
      <c r="U9" s="2">
        <v>1627999</v>
      </c>
      <c r="V9" s="3" t="str">
        <f>IF(AND(S9&lt;=W1,W1&lt;=U9),"○","")</f>
        <v/>
      </c>
      <c r="W9" s="34" t="str">
        <f t="shared" si="7"/>
        <v/>
      </c>
    </row>
    <row r="10" spans="1:23" ht="17.25" customHeight="1" x14ac:dyDescent="0.2">
      <c r="A10" s="2">
        <f t="shared" si="0"/>
        <v>1628000</v>
      </c>
      <c r="B10" s="3" t="s">
        <v>104</v>
      </c>
      <c r="C10" s="2">
        <v>1899999</v>
      </c>
      <c r="D10" s="3" t="str">
        <f>IF(AND(A10&lt;=E1,E1&lt;=C10),"○","")</f>
        <v/>
      </c>
      <c r="E10" s="34" t="str">
        <f t="shared" si="4"/>
        <v/>
      </c>
      <c r="F10"/>
      <c r="G10" s="2">
        <f t="shared" si="1"/>
        <v>1628000</v>
      </c>
      <c r="H10" s="3" t="s">
        <v>104</v>
      </c>
      <c r="I10" s="2">
        <v>1899999</v>
      </c>
      <c r="J10" s="3" t="str">
        <f>IF(AND(G10&lt;=K1,K1&lt;=I10),"○","")</f>
        <v/>
      </c>
      <c r="K10" s="34" t="str">
        <f t="shared" si="5"/>
        <v/>
      </c>
      <c r="M10" s="2">
        <f t="shared" si="2"/>
        <v>1628000</v>
      </c>
      <c r="N10" s="3" t="s">
        <v>104</v>
      </c>
      <c r="O10" s="2">
        <v>1899999</v>
      </c>
      <c r="P10" s="3" t="str">
        <f>IF(AND(M10&lt;=Q1,Q1&lt;=O10),"○","")</f>
        <v/>
      </c>
      <c r="Q10" s="34" t="str">
        <f>IF(P10="○",$Q$1-650000,"")</f>
        <v/>
      </c>
      <c r="S10" s="2">
        <f t="shared" si="3"/>
        <v>1628000</v>
      </c>
      <c r="T10" s="3" t="s">
        <v>104</v>
      </c>
      <c r="U10" s="2">
        <v>1899999</v>
      </c>
      <c r="V10" s="3" t="str">
        <f>IF(AND(S10&lt;=W1,W1&lt;=U10),"○","")</f>
        <v/>
      </c>
      <c r="W10" s="34" t="str">
        <f t="shared" si="7"/>
        <v/>
      </c>
    </row>
    <row r="11" spans="1:23" ht="17.25" customHeight="1" x14ac:dyDescent="0.2">
      <c r="A11" s="2">
        <f t="shared" si="0"/>
        <v>1900000</v>
      </c>
      <c r="B11" s="3" t="s">
        <v>104</v>
      </c>
      <c r="C11" s="2">
        <v>3599999</v>
      </c>
      <c r="D11" s="3" t="str">
        <f>IF(AND(A11&lt;=E1,E1&lt;=C11),"○","")</f>
        <v/>
      </c>
      <c r="E11" s="34" t="str">
        <f>IF(D11="○",ROUNDDOWN(E1/4,-3)*2.8-80000,"")</f>
        <v/>
      </c>
      <c r="F11"/>
      <c r="G11" s="2">
        <f t="shared" si="1"/>
        <v>1900000</v>
      </c>
      <c r="H11" s="3" t="s">
        <v>104</v>
      </c>
      <c r="I11" s="2">
        <v>3599999</v>
      </c>
      <c r="J11" s="3" t="str">
        <f>IF(AND(G11&lt;=K1,K1&lt;=I11),"○","")</f>
        <v/>
      </c>
      <c r="K11" s="34" t="str">
        <f>IF(J11="○",ROUNDDOWN(K1/4,-3)*2.8-80000,"")</f>
        <v/>
      </c>
      <c r="M11" s="2">
        <f t="shared" si="2"/>
        <v>1900000</v>
      </c>
      <c r="N11" s="3" t="s">
        <v>104</v>
      </c>
      <c r="O11" s="2">
        <v>3599999</v>
      </c>
      <c r="P11" s="3" t="str">
        <f>IF(AND(M11&lt;=Q1,Q1&lt;=O11),"○","")</f>
        <v/>
      </c>
      <c r="Q11" s="34" t="str">
        <f>IF(P11="○",ROUNDDOWN($Q$1/4,-3)*2.8-80000,"")</f>
        <v/>
      </c>
      <c r="S11" s="2">
        <f t="shared" si="3"/>
        <v>1900000</v>
      </c>
      <c r="T11" s="3" t="s">
        <v>104</v>
      </c>
      <c r="U11" s="2">
        <v>3599999</v>
      </c>
      <c r="V11" s="3" t="str">
        <f>IF(AND(S11&lt;=W1,W1&lt;=U11),"○","")</f>
        <v/>
      </c>
      <c r="W11" s="34" t="str">
        <f>IF(V11="○",ROUNDDOWN(W1/4,-3)*2.8-80000,"")</f>
        <v/>
      </c>
    </row>
    <row r="12" spans="1:23" ht="17.25" customHeight="1" x14ac:dyDescent="0.2">
      <c r="A12" s="2">
        <f t="shared" si="0"/>
        <v>3600000</v>
      </c>
      <c r="B12" s="3" t="s">
        <v>104</v>
      </c>
      <c r="C12" s="2">
        <v>6599999</v>
      </c>
      <c r="D12" s="3" t="str">
        <f>IF(AND(A12&lt;=E1,E1&lt;=C12),"○","")</f>
        <v/>
      </c>
      <c r="E12" s="34" t="str">
        <f>IF(D12="○",ROUNDDOWN(E1/4,-3)*3.2-440000,"")</f>
        <v/>
      </c>
      <c r="F12"/>
      <c r="G12" s="2">
        <f t="shared" si="1"/>
        <v>3600000</v>
      </c>
      <c r="H12" s="3" t="s">
        <v>104</v>
      </c>
      <c r="I12" s="2">
        <v>6599999</v>
      </c>
      <c r="J12" s="3" t="str">
        <f>IF(AND(G12&lt;=K1,K1&lt;=I12),"○","")</f>
        <v/>
      </c>
      <c r="K12" s="34" t="str">
        <f>IF(J12="○",ROUNDDOWN(K1/4,-3)*3.2-440000,"")</f>
        <v/>
      </c>
      <c r="M12" s="2">
        <f t="shared" si="2"/>
        <v>3600000</v>
      </c>
      <c r="N12" s="3" t="s">
        <v>104</v>
      </c>
      <c r="O12" s="2">
        <v>6599999</v>
      </c>
      <c r="P12" s="3" t="str">
        <f>IF(AND(M12&lt;=Q1,Q1&lt;=O12),"○","")</f>
        <v/>
      </c>
      <c r="Q12" s="34" t="str">
        <f t="shared" ref="Q12:Q14" si="8">IF(P12="○",ROUNDDOWN($Q$1/4,-3)*2.8-80000,"")</f>
        <v/>
      </c>
      <c r="S12" s="2">
        <f t="shared" si="3"/>
        <v>3600000</v>
      </c>
      <c r="T12" s="3" t="s">
        <v>104</v>
      </c>
      <c r="U12" s="2">
        <v>6599999</v>
      </c>
      <c r="V12" s="3" t="str">
        <f>IF(AND(S12&lt;=W1,W1&lt;=U12),"○","")</f>
        <v/>
      </c>
      <c r="W12" s="34" t="str">
        <f>IF(V12="○",ROUNDDOWN(W1/4,-3)*3.2-440000,"")</f>
        <v/>
      </c>
    </row>
    <row r="13" spans="1:23" ht="17.25" customHeight="1" x14ac:dyDescent="0.2">
      <c r="A13" s="2">
        <f t="shared" si="0"/>
        <v>6600000</v>
      </c>
      <c r="B13" s="3" t="s">
        <v>104</v>
      </c>
      <c r="C13" s="2">
        <v>8500000</v>
      </c>
      <c r="D13" s="3" t="str">
        <f>IF(AND(A13&lt;=E1,E1&lt;=C13),"○","")</f>
        <v/>
      </c>
      <c r="E13" s="34" t="str">
        <f>IF(D13="○",E1*0.9-1100000,"")</f>
        <v/>
      </c>
      <c r="F13"/>
      <c r="G13" s="2">
        <f t="shared" si="1"/>
        <v>6600000</v>
      </c>
      <c r="H13" s="3" t="s">
        <v>104</v>
      </c>
      <c r="I13" s="2">
        <v>8500000</v>
      </c>
      <c r="J13" s="3" t="str">
        <f>IF(AND(G13&lt;=K1,K1&lt;=I13),"○","")</f>
        <v/>
      </c>
      <c r="K13" s="34" t="str">
        <f>IF(J13="○",K1*0.9-1100000,"")</f>
        <v/>
      </c>
      <c r="M13" s="2">
        <f t="shared" si="2"/>
        <v>6600000</v>
      </c>
      <c r="N13" s="3" t="s">
        <v>104</v>
      </c>
      <c r="O13" s="2">
        <v>8500000</v>
      </c>
      <c r="P13" s="3" t="str">
        <f>IF(AND(M13&lt;=Q1,Q1&lt;=O13),"○","")</f>
        <v/>
      </c>
      <c r="Q13" s="34" t="str">
        <f t="shared" si="8"/>
        <v/>
      </c>
      <c r="S13" s="2">
        <f t="shared" si="3"/>
        <v>6600000</v>
      </c>
      <c r="T13" s="3" t="s">
        <v>104</v>
      </c>
      <c r="U13" s="2">
        <v>8500000</v>
      </c>
      <c r="V13" s="3" t="str">
        <f>IF(AND(S13&lt;=W1,W1&lt;=U13),"○","")</f>
        <v/>
      </c>
      <c r="W13" s="34" t="str">
        <f>IF(V13="○",W1*0.9-1100000,"")</f>
        <v/>
      </c>
    </row>
    <row r="14" spans="1:23" ht="17.25" customHeight="1" x14ac:dyDescent="0.2">
      <c r="A14" s="2">
        <f t="shared" si="0"/>
        <v>8500001</v>
      </c>
      <c r="B14" s="3" t="s">
        <v>104</v>
      </c>
      <c r="C14" s="2">
        <v>999999999</v>
      </c>
      <c r="D14" s="3" t="str">
        <f>IF(AND(A14&lt;=E1,E1&lt;=C14),"○","")</f>
        <v/>
      </c>
      <c r="E14" s="34" t="str">
        <f>IF(D14="○",E1-1950000,"")</f>
        <v/>
      </c>
      <c r="F14"/>
      <c r="G14" s="2">
        <f t="shared" si="1"/>
        <v>8500001</v>
      </c>
      <c r="H14" s="3" t="s">
        <v>104</v>
      </c>
      <c r="I14" s="2">
        <v>999999999</v>
      </c>
      <c r="J14" s="3" t="str">
        <f>IF(AND(G14&lt;=K1,K1&lt;=I14),"○","")</f>
        <v/>
      </c>
      <c r="K14" s="34" t="str">
        <f>IF(J14="○",K1-1950000,"")</f>
        <v/>
      </c>
      <c r="M14" s="2">
        <f t="shared" si="2"/>
        <v>8500001</v>
      </c>
      <c r="N14" s="3" t="s">
        <v>104</v>
      </c>
      <c r="O14" s="2">
        <v>999999999</v>
      </c>
      <c r="P14" s="3" t="str">
        <f>IF(AND(M14&lt;=Q1,Q1&lt;=O14),"○","")</f>
        <v/>
      </c>
      <c r="Q14" s="34" t="str">
        <f t="shared" si="8"/>
        <v/>
      </c>
      <c r="S14" s="2">
        <f t="shared" si="3"/>
        <v>8500001</v>
      </c>
      <c r="T14" s="3" t="s">
        <v>104</v>
      </c>
      <c r="U14" s="2">
        <v>999999999</v>
      </c>
      <c r="V14" s="3" t="str">
        <f>IF(AND(S14&lt;=W1,W1&lt;=U14),"○","")</f>
        <v/>
      </c>
      <c r="W14" s="34" t="str">
        <f>IF(V14="○",W1-1950000,"")</f>
        <v/>
      </c>
    </row>
    <row r="16" spans="1:23" ht="17.25" customHeight="1" x14ac:dyDescent="0.2">
      <c r="A16" t="s">
        <v>112</v>
      </c>
      <c r="D16" s="10" t="s">
        <v>105</v>
      </c>
      <c r="E16" s="13">
        <f>【令和8年度】大崎上島町国民健康保険税試算!G13</f>
        <v>0</v>
      </c>
      <c r="G16" t="s">
        <v>113</v>
      </c>
      <c r="J16" s="10" t="s">
        <v>105</v>
      </c>
      <c r="K16" s="13">
        <f>【令和8年度】大崎上島町国民健康保険税試算!G14</f>
        <v>0</v>
      </c>
      <c r="M16" t="s">
        <v>114</v>
      </c>
      <c r="P16" s="10" t="s">
        <v>105</v>
      </c>
      <c r="Q16" s="13">
        <f>【令和8年度】大崎上島町国民健康保険税試算!G15</f>
        <v>0</v>
      </c>
      <c r="S16" t="s">
        <v>115</v>
      </c>
      <c r="V16" s="10" t="s">
        <v>105</v>
      </c>
      <c r="W16" s="13">
        <f>【令和8年度】大崎上島町国民健康保険税試算!G16</f>
        <v>0</v>
      </c>
    </row>
    <row r="17" spans="1:23" ht="17.25" customHeight="1" x14ac:dyDescent="0.2">
      <c r="C17" s="10"/>
      <c r="D17" s="12" t="s">
        <v>109</v>
      </c>
      <c r="E17" s="29">
        <f>MAX(E19:E29)</f>
        <v>0</v>
      </c>
      <c r="I17" s="10"/>
      <c r="J17" s="12" t="s">
        <v>109</v>
      </c>
      <c r="K17" s="29">
        <f>MAX(K19:K29)</f>
        <v>0</v>
      </c>
      <c r="O17" s="10"/>
      <c r="P17" s="12" t="s">
        <v>109</v>
      </c>
      <c r="Q17" s="29">
        <f>MAX(Q19:Q29)</f>
        <v>0</v>
      </c>
      <c r="U17" s="10"/>
      <c r="V17" s="12" t="s">
        <v>109</v>
      </c>
      <c r="W17" s="29">
        <f>MAX(W19:W29)</f>
        <v>0</v>
      </c>
    </row>
    <row r="18" spans="1:23" ht="17.25" customHeight="1" x14ac:dyDescent="0.2">
      <c r="A18" s="162" t="s">
        <v>110</v>
      </c>
      <c r="B18" s="163"/>
      <c r="C18" s="164"/>
      <c r="D18" s="1" t="s">
        <v>111</v>
      </c>
      <c r="E18" s="1" t="s">
        <v>11</v>
      </c>
      <c r="F18"/>
      <c r="G18" s="162" t="s">
        <v>110</v>
      </c>
      <c r="H18" s="163"/>
      <c r="I18" s="164"/>
      <c r="J18" s="1" t="s">
        <v>111</v>
      </c>
      <c r="K18" s="1" t="s">
        <v>11</v>
      </c>
      <c r="M18" s="162" t="s">
        <v>110</v>
      </c>
      <c r="N18" s="163"/>
      <c r="O18" s="164"/>
      <c r="P18" s="1" t="s">
        <v>111</v>
      </c>
      <c r="Q18" s="1" t="s">
        <v>11</v>
      </c>
      <c r="S18" s="162" t="s">
        <v>110</v>
      </c>
      <c r="T18" s="163"/>
      <c r="U18" s="164"/>
      <c r="V18" s="1" t="s">
        <v>111</v>
      </c>
      <c r="W18" s="1" t="s">
        <v>11</v>
      </c>
    </row>
    <row r="19" spans="1:23" ht="17.25" customHeight="1" x14ac:dyDescent="0.2">
      <c r="A19" s="2">
        <v>0</v>
      </c>
      <c r="B19" s="3" t="s">
        <v>104</v>
      </c>
      <c r="C19" s="2">
        <v>649999</v>
      </c>
      <c r="D19" s="3" t="str">
        <f>IF(E16&lt;=C19,"○","")</f>
        <v>○</v>
      </c>
      <c r="E19" s="34">
        <f>IF(D19="○",0,"")</f>
        <v>0</v>
      </c>
      <c r="F19"/>
      <c r="G19" s="2">
        <v>0</v>
      </c>
      <c r="H19" s="3" t="s">
        <v>104</v>
      </c>
      <c r="I19" s="2">
        <v>649999</v>
      </c>
      <c r="J19" s="3" t="str">
        <f>IF(K16&lt;=I19,"○","")</f>
        <v>○</v>
      </c>
      <c r="K19" s="34">
        <f>IF(J19="○",0,"")</f>
        <v>0</v>
      </c>
      <c r="M19" s="2">
        <v>0</v>
      </c>
      <c r="N19" s="3" t="s">
        <v>104</v>
      </c>
      <c r="O19" s="2">
        <v>649999</v>
      </c>
      <c r="P19" s="3" t="str">
        <f>IF(Q16&lt;=O19,"○","")</f>
        <v>○</v>
      </c>
      <c r="Q19" s="34">
        <f>IF(P19="○",0,"")</f>
        <v>0</v>
      </c>
      <c r="S19" s="2">
        <v>0</v>
      </c>
      <c r="T19" s="3" t="s">
        <v>104</v>
      </c>
      <c r="U19" s="2">
        <v>649999</v>
      </c>
      <c r="V19" s="3" t="str">
        <f>IF(W16&lt;=U19,"○","")</f>
        <v>○</v>
      </c>
      <c r="W19" s="34">
        <f>IF(V19="○",0,"")</f>
        <v>0</v>
      </c>
    </row>
    <row r="20" spans="1:23" ht="17.25" customHeight="1" x14ac:dyDescent="0.2">
      <c r="A20" s="2">
        <f t="shared" ref="A20:A29" si="9">C19+1</f>
        <v>650000</v>
      </c>
      <c r="B20" s="3" t="s">
        <v>104</v>
      </c>
      <c r="C20" s="2">
        <v>1618999</v>
      </c>
      <c r="D20" s="3" t="str">
        <f>IF(AND(A20&lt;=E16,E16&lt;=C20),"○","")</f>
        <v/>
      </c>
      <c r="E20" s="34" t="str">
        <f>IF(D20="○",$E$16-650000,"")</f>
        <v/>
      </c>
      <c r="F20"/>
      <c r="G20" s="2">
        <f t="shared" ref="G20:G29" si="10">I19+1</f>
        <v>650000</v>
      </c>
      <c r="H20" s="3" t="s">
        <v>104</v>
      </c>
      <c r="I20" s="2">
        <v>1618999</v>
      </c>
      <c r="J20" s="3" t="str">
        <f>IF(AND(G20&lt;=K16,K16&lt;=I20),"○","")</f>
        <v/>
      </c>
      <c r="K20" s="34" t="str">
        <f>IF(J20="○",$K$16-650000,"")</f>
        <v/>
      </c>
      <c r="M20" s="2">
        <f t="shared" ref="M20:M29" si="11">O19+1</f>
        <v>650000</v>
      </c>
      <c r="N20" s="3" t="s">
        <v>104</v>
      </c>
      <c r="O20" s="2">
        <v>1618999</v>
      </c>
      <c r="P20" s="3" t="str">
        <f>IF(AND(M20&lt;=Q16,Q16&lt;=O20),"○","")</f>
        <v/>
      </c>
      <c r="Q20" s="34" t="str">
        <f>IF(P20="○",$Q$16-650000,"")</f>
        <v/>
      </c>
      <c r="S20" s="2">
        <f t="shared" ref="S20:S29" si="12">U19+1</f>
        <v>650000</v>
      </c>
      <c r="T20" s="3" t="s">
        <v>104</v>
      </c>
      <c r="U20" s="2">
        <v>1618999</v>
      </c>
      <c r="V20" s="3" t="str">
        <f>IF(AND(S20&lt;=W16,W16&lt;=U20),"○","")</f>
        <v/>
      </c>
      <c r="W20" s="34" t="str">
        <f>IF(V20="○",$W$16-650000,"")</f>
        <v/>
      </c>
    </row>
    <row r="21" spans="1:23" ht="17.25" customHeight="1" x14ac:dyDescent="0.2">
      <c r="A21" s="2">
        <f t="shared" si="9"/>
        <v>1619000</v>
      </c>
      <c r="B21" s="3" t="s">
        <v>104</v>
      </c>
      <c r="C21" s="2">
        <v>1619999</v>
      </c>
      <c r="D21" s="3" t="str">
        <f>IF(AND(A21&lt;=E16,E16&lt;=C21),"○","")</f>
        <v/>
      </c>
      <c r="E21" s="34" t="str">
        <f t="shared" ref="E21:E25" si="13">IF(D21="○",$E$16-650000,"")</f>
        <v/>
      </c>
      <c r="F21"/>
      <c r="G21" s="2">
        <f t="shared" si="10"/>
        <v>1619000</v>
      </c>
      <c r="H21" s="3" t="s">
        <v>104</v>
      </c>
      <c r="I21" s="2">
        <v>1619999</v>
      </c>
      <c r="J21" s="3" t="str">
        <f>IF(AND(G21&lt;=K16,K16&lt;=I21),"○","")</f>
        <v/>
      </c>
      <c r="K21" s="34" t="str">
        <f t="shared" ref="K21:K25" si="14">IF(J21="○",$K$16-650000,"")</f>
        <v/>
      </c>
      <c r="M21" s="2">
        <f t="shared" si="11"/>
        <v>1619000</v>
      </c>
      <c r="N21" s="3" t="s">
        <v>104</v>
      </c>
      <c r="O21" s="2">
        <v>1619999</v>
      </c>
      <c r="P21" s="3" t="str">
        <f>IF(AND(M21&lt;=Q16,Q16&lt;=O21),"○","")</f>
        <v/>
      </c>
      <c r="Q21" s="34" t="str">
        <f t="shared" ref="Q21:Q25" si="15">IF(P21="○",$Q$16-650000,"")</f>
        <v/>
      </c>
      <c r="S21" s="2">
        <f t="shared" si="12"/>
        <v>1619000</v>
      </c>
      <c r="T21" s="3" t="s">
        <v>104</v>
      </c>
      <c r="U21" s="2">
        <v>1619999</v>
      </c>
      <c r="V21" s="3" t="str">
        <f>IF(AND(S21&lt;=W16,W16&lt;=U21),"○","")</f>
        <v/>
      </c>
      <c r="W21" s="34" t="str">
        <f t="shared" ref="W21:W25" si="16">IF(V21="○",$W$16-650000,"")</f>
        <v/>
      </c>
    </row>
    <row r="22" spans="1:23" ht="17.25" customHeight="1" x14ac:dyDescent="0.2">
      <c r="A22" s="2">
        <f t="shared" si="9"/>
        <v>1620000</v>
      </c>
      <c r="B22" s="3" t="s">
        <v>104</v>
      </c>
      <c r="C22" s="2">
        <v>1621999</v>
      </c>
      <c r="D22" s="3" t="str">
        <f>IF(AND(A22&lt;=E16,E16&lt;=C22),"○","")</f>
        <v/>
      </c>
      <c r="E22" s="34" t="str">
        <f t="shared" si="13"/>
        <v/>
      </c>
      <c r="F22"/>
      <c r="G22" s="2">
        <f t="shared" si="10"/>
        <v>1620000</v>
      </c>
      <c r="H22" s="3" t="s">
        <v>104</v>
      </c>
      <c r="I22" s="2">
        <v>1621999</v>
      </c>
      <c r="J22" s="3" t="str">
        <f>IF(AND(G22&lt;=K16,K16&lt;=I22),"○","")</f>
        <v/>
      </c>
      <c r="K22" s="34" t="str">
        <f>IF(J22="○",$K$16-650000,"")</f>
        <v/>
      </c>
      <c r="M22" s="2">
        <f t="shared" si="11"/>
        <v>1620000</v>
      </c>
      <c r="N22" s="3" t="s">
        <v>104</v>
      </c>
      <c r="O22" s="2">
        <v>1621999</v>
      </c>
      <c r="P22" s="3" t="str">
        <f>IF(AND(M22&lt;=Q16,Q16&lt;=O22),"○","")</f>
        <v/>
      </c>
      <c r="Q22" s="34" t="str">
        <f t="shared" si="15"/>
        <v/>
      </c>
      <c r="S22" s="2">
        <f t="shared" si="12"/>
        <v>1620000</v>
      </c>
      <c r="T22" s="3" t="s">
        <v>104</v>
      </c>
      <c r="U22" s="2">
        <v>1621999</v>
      </c>
      <c r="V22" s="3" t="str">
        <f>IF(AND(S22&lt;=W16,W16&lt;=U22),"○","")</f>
        <v/>
      </c>
      <c r="W22" s="34" t="str">
        <f t="shared" si="16"/>
        <v/>
      </c>
    </row>
    <row r="23" spans="1:23" ht="17.25" customHeight="1" x14ac:dyDescent="0.2">
      <c r="A23" s="2">
        <f t="shared" si="9"/>
        <v>1622000</v>
      </c>
      <c r="B23" s="3" t="s">
        <v>104</v>
      </c>
      <c r="C23" s="2">
        <v>1623999</v>
      </c>
      <c r="D23" s="3" t="str">
        <f>IF(AND(A23&lt;=E16,E16&lt;=C23),"○","")</f>
        <v/>
      </c>
      <c r="E23" s="34" t="str">
        <f t="shared" si="13"/>
        <v/>
      </c>
      <c r="F23"/>
      <c r="G23" s="2">
        <f t="shared" si="10"/>
        <v>1622000</v>
      </c>
      <c r="H23" s="3" t="s">
        <v>104</v>
      </c>
      <c r="I23" s="2">
        <v>1623999</v>
      </c>
      <c r="J23" s="3" t="str">
        <f>IF(AND(G23&lt;=K16,K16&lt;=I23),"○","")</f>
        <v/>
      </c>
      <c r="K23" s="34" t="str">
        <f t="shared" si="14"/>
        <v/>
      </c>
      <c r="M23" s="2">
        <f t="shared" si="11"/>
        <v>1622000</v>
      </c>
      <c r="N23" s="3" t="s">
        <v>104</v>
      </c>
      <c r="O23" s="2">
        <v>1623999</v>
      </c>
      <c r="P23" s="3" t="str">
        <f>IF(AND(M23&lt;=Q16,Q16&lt;=O23),"○","")</f>
        <v/>
      </c>
      <c r="Q23" s="34" t="str">
        <f t="shared" si="15"/>
        <v/>
      </c>
      <c r="S23" s="2">
        <f t="shared" si="12"/>
        <v>1622000</v>
      </c>
      <c r="T23" s="3" t="s">
        <v>104</v>
      </c>
      <c r="U23" s="2">
        <v>1623999</v>
      </c>
      <c r="V23" s="3" t="str">
        <f>IF(AND(S23&lt;=W16,W16&lt;=U23),"○","")</f>
        <v/>
      </c>
      <c r="W23" s="34" t="str">
        <f t="shared" si="16"/>
        <v/>
      </c>
    </row>
    <row r="24" spans="1:23" ht="17.25" customHeight="1" x14ac:dyDescent="0.2">
      <c r="A24" s="2">
        <f t="shared" si="9"/>
        <v>1624000</v>
      </c>
      <c r="B24" s="3" t="s">
        <v>104</v>
      </c>
      <c r="C24" s="2">
        <v>1627999</v>
      </c>
      <c r="D24" s="3" t="str">
        <f>IF(AND(A24&lt;=E16,E16&lt;=C24),"○","")</f>
        <v/>
      </c>
      <c r="E24" s="34" t="str">
        <f t="shared" si="13"/>
        <v/>
      </c>
      <c r="F24"/>
      <c r="G24" s="2">
        <f t="shared" si="10"/>
        <v>1624000</v>
      </c>
      <c r="H24" s="3" t="s">
        <v>104</v>
      </c>
      <c r="I24" s="2">
        <v>1627999</v>
      </c>
      <c r="J24" s="3" t="str">
        <f>IF(AND(G24&lt;=K16,K16&lt;=I24),"○","")</f>
        <v/>
      </c>
      <c r="K24" s="34" t="str">
        <f t="shared" si="14"/>
        <v/>
      </c>
      <c r="M24" s="2">
        <f t="shared" si="11"/>
        <v>1624000</v>
      </c>
      <c r="N24" s="3" t="s">
        <v>104</v>
      </c>
      <c r="O24" s="2">
        <v>1627999</v>
      </c>
      <c r="P24" s="3" t="str">
        <f>IF(AND(M24&lt;=Q16,Q16&lt;=O24),"○","")</f>
        <v/>
      </c>
      <c r="Q24" s="34" t="str">
        <f t="shared" si="15"/>
        <v/>
      </c>
      <c r="S24" s="2">
        <f t="shared" si="12"/>
        <v>1624000</v>
      </c>
      <c r="T24" s="3" t="s">
        <v>104</v>
      </c>
      <c r="U24" s="2">
        <v>1627999</v>
      </c>
      <c r="V24" s="3" t="str">
        <f>IF(AND(S24&lt;=W16,W16&lt;=U24),"○","")</f>
        <v/>
      </c>
      <c r="W24" s="34" t="str">
        <f t="shared" si="16"/>
        <v/>
      </c>
    </row>
    <row r="25" spans="1:23" ht="17.25" customHeight="1" x14ac:dyDescent="0.2">
      <c r="A25" s="2">
        <f t="shared" si="9"/>
        <v>1628000</v>
      </c>
      <c r="B25" s="3" t="s">
        <v>104</v>
      </c>
      <c r="C25" s="2">
        <v>1899999</v>
      </c>
      <c r="D25" s="3" t="str">
        <f>IF(AND(A25&lt;=E16,E16&lt;=C25),"○","")</f>
        <v/>
      </c>
      <c r="E25" s="34" t="str">
        <f t="shared" si="13"/>
        <v/>
      </c>
      <c r="F25"/>
      <c r="G25" s="2">
        <f t="shared" si="10"/>
        <v>1628000</v>
      </c>
      <c r="H25" s="3" t="s">
        <v>104</v>
      </c>
      <c r="I25" s="2">
        <v>1899999</v>
      </c>
      <c r="J25" s="3" t="str">
        <f>IF(AND(G25&lt;=K16,K16&lt;=I25),"○","")</f>
        <v/>
      </c>
      <c r="K25" s="34" t="str">
        <f t="shared" si="14"/>
        <v/>
      </c>
      <c r="M25" s="2">
        <f t="shared" si="11"/>
        <v>1628000</v>
      </c>
      <c r="N25" s="3" t="s">
        <v>104</v>
      </c>
      <c r="O25" s="2">
        <v>1899999</v>
      </c>
      <c r="P25" s="3" t="str">
        <f>IF(AND(M25&lt;=Q16,Q16&lt;=O25),"○","")</f>
        <v/>
      </c>
      <c r="Q25" s="34" t="str">
        <f t="shared" si="15"/>
        <v/>
      </c>
      <c r="S25" s="2">
        <f t="shared" si="12"/>
        <v>1628000</v>
      </c>
      <c r="T25" s="3" t="s">
        <v>104</v>
      </c>
      <c r="U25" s="2">
        <v>1899999</v>
      </c>
      <c r="V25" s="3" t="str">
        <f>IF(AND(S25&lt;=W16,W16&lt;=U25),"○","")</f>
        <v/>
      </c>
      <c r="W25" s="34" t="str">
        <f t="shared" si="16"/>
        <v/>
      </c>
    </row>
    <row r="26" spans="1:23" ht="17.25" customHeight="1" x14ac:dyDescent="0.2">
      <c r="A26" s="2">
        <f t="shared" si="9"/>
        <v>1900000</v>
      </c>
      <c r="B26" s="3" t="s">
        <v>104</v>
      </c>
      <c r="C26" s="2">
        <v>3599999</v>
      </c>
      <c r="D26" s="3" t="str">
        <f>IF(AND(A26&lt;=E16,E16&lt;=C26),"○","")</f>
        <v/>
      </c>
      <c r="E26" s="34" t="str">
        <f>IF(D26="○",ROUNDDOWN(E16/4,-3)*2.8-80000,"")</f>
        <v/>
      </c>
      <c r="F26"/>
      <c r="G26" s="2">
        <f t="shared" si="10"/>
        <v>1900000</v>
      </c>
      <c r="H26" s="3" t="s">
        <v>104</v>
      </c>
      <c r="I26" s="2">
        <v>3599999</v>
      </c>
      <c r="J26" s="3" t="str">
        <f>IF(AND(G26&lt;=K16,K16&lt;=I26),"○","")</f>
        <v/>
      </c>
      <c r="K26" s="34" t="str">
        <f>IF(J26="○",ROUNDDOWN(K16/4,-3)*2.8-80000,"")</f>
        <v/>
      </c>
      <c r="M26" s="2">
        <f t="shared" si="11"/>
        <v>1900000</v>
      </c>
      <c r="N26" s="3" t="s">
        <v>104</v>
      </c>
      <c r="O26" s="2">
        <v>3599999</v>
      </c>
      <c r="P26" s="3" t="str">
        <f>IF(AND(M26&lt;=Q16,Q16&lt;=O26),"○","")</f>
        <v/>
      </c>
      <c r="Q26" s="34" t="str">
        <f>IF(P26="○",ROUNDDOWN(Q16/4,-3)*2.8-80000,"")</f>
        <v/>
      </c>
      <c r="S26" s="2">
        <f t="shared" si="12"/>
        <v>1900000</v>
      </c>
      <c r="T26" s="3" t="s">
        <v>104</v>
      </c>
      <c r="U26" s="2">
        <v>3599999</v>
      </c>
      <c r="V26" s="3" t="str">
        <f>IF(AND(S26&lt;=W16,W16&lt;=U26),"○","")</f>
        <v/>
      </c>
      <c r="W26" s="34" t="str">
        <f>IF(V26="○",ROUNDDOWN(W16/4,-3)*2.8-80000,"")</f>
        <v/>
      </c>
    </row>
    <row r="27" spans="1:23" ht="17.25" customHeight="1" x14ac:dyDescent="0.2">
      <c r="A27" s="2">
        <f t="shared" si="9"/>
        <v>3600000</v>
      </c>
      <c r="B27" s="3" t="s">
        <v>104</v>
      </c>
      <c r="C27" s="2">
        <v>6599999</v>
      </c>
      <c r="D27" s="3" t="str">
        <f>IF(AND(A27&lt;=E16,E16&lt;=C27),"○","")</f>
        <v/>
      </c>
      <c r="E27" s="34" t="str">
        <f>IF(D27="○",ROUNDDOWN(E16/4,-3)*3.2-440000,"")</f>
        <v/>
      </c>
      <c r="F27"/>
      <c r="G27" s="2">
        <f t="shared" si="10"/>
        <v>3600000</v>
      </c>
      <c r="H27" s="3" t="s">
        <v>104</v>
      </c>
      <c r="I27" s="2">
        <v>6599999</v>
      </c>
      <c r="J27" s="3" t="str">
        <f>IF(AND(G27&lt;=K16,K16&lt;=I27),"○","")</f>
        <v/>
      </c>
      <c r="K27" s="34" t="str">
        <f>IF(J27="○",ROUNDDOWN(K16/4,-3)*3.2-440000,"")</f>
        <v/>
      </c>
      <c r="M27" s="2">
        <f t="shared" si="11"/>
        <v>3600000</v>
      </c>
      <c r="N27" s="3" t="s">
        <v>104</v>
      </c>
      <c r="O27" s="2">
        <v>6599999</v>
      </c>
      <c r="P27" s="3" t="str">
        <f>IF(AND(M27&lt;=Q16,Q16&lt;=O27),"○","")</f>
        <v/>
      </c>
      <c r="Q27" s="34" t="str">
        <f>IF(P27="○",ROUNDDOWN(Q16/4,-3)*3.2-440000,"")</f>
        <v/>
      </c>
      <c r="S27" s="2">
        <f t="shared" si="12"/>
        <v>3600000</v>
      </c>
      <c r="T27" s="3" t="s">
        <v>104</v>
      </c>
      <c r="U27" s="2">
        <v>6599999</v>
      </c>
      <c r="V27" s="3" t="str">
        <f>IF(AND(S27&lt;=W16,W16&lt;=U27),"○","")</f>
        <v/>
      </c>
      <c r="W27" s="34" t="str">
        <f>IF(V27="○",ROUNDDOWN(W16/4,-3)*3.2-440000,"")</f>
        <v/>
      </c>
    </row>
    <row r="28" spans="1:23" ht="17.25" customHeight="1" x14ac:dyDescent="0.2">
      <c r="A28" s="2">
        <f t="shared" si="9"/>
        <v>6600000</v>
      </c>
      <c r="B28" s="3" t="s">
        <v>104</v>
      </c>
      <c r="C28" s="2">
        <v>8500000</v>
      </c>
      <c r="D28" s="3" t="str">
        <f>IF(AND(A28&lt;=E16,E16&lt;=C28),"○","")</f>
        <v/>
      </c>
      <c r="E28" s="34" t="str">
        <f>IF(D28="○",E16*0.9-1100000,"")</f>
        <v/>
      </c>
      <c r="F28"/>
      <c r="G28" s="2">
        <f t="shared" si="10"/>
        <v>6600000</v>
      </c>
      <c r="H28" s="3" t="s">
        <v>104</v>
      </c>
      <c r="I28" s="2">
        <v>8500000</v>
      </c>
      <c r="J28" s="3" t="str">
        <f>IF(AND(G28&lt;=K16,K16&lt;=I28),"○","")</f>
        <v/>
      </c>
      <c r="K28" s="34" t="str">
        <f>IF(J28="○",K16*0.9-1100000,"")</f>
        <v/>
      </c>
      <c r="M28" s="2">
        <f t="shared" si="11"/>
        <v>6600000</v>
      </c>
      <c r="N28" s="3" t="s">
        <v>104</v>
      </c>
      <c r="O28" s="2">
        <v>8500000</v>
      </c>
      <c r="P28" s="3" t="str">
        <f>IF(AND(M28&lt;=Q16,Q16&lt;=O28),"○","")</f>
        <v/>
      </c>
      <c r="Q28" s="34" t="str">
        <f>IF(P28="○",Q16*0.9-1100000,"")</f>
        <v/>
      </c>
      <c r="S28" s="2">
        <f t="shared" si="12"/>
        <v>6600000</v>
      </c>
      <c r="T28" s="3" t="s">
        <v>104</v>
      </c>
      <c r="U28" s="2">
        <v>8500000</v>
      </c>
      <c r="V28" s="3" t="str">
        <f>IF(AND(S28&lt;=W16,W16&lt;=U28),"○","")</f>
        <v/>
      </c>
      <c r="W28" s="34" t="str">
        <f>IF(V28="○",W16*0.9-1100000,"")</f>
        <v/>
      </c>
    </row>
    <row r="29" spans="1:23" ht="17.25" customHeight="1" x14ac:dyDescent="0.2">
      <c r="A29" s="2">
        <f t="shared" si="9"/>
        <v>8500001</v>
      </c>
      <c r="B29" s="3" t="s">
        <v>104</v>
      </c>
      <c r="C29" s="2">
        <v>999999999</v>
      </c>
      <c r="D29" s="3" t="str">
        <f>IF(AND(A29&lt;=E16,E16&lt;=C29),"○","")</f>
        <v/>
      </c>
      <c r="E29" s="34" t="str">
        <f>IF(D29="○",E16-1950000,"")</f>
        <v/>
      </c>
      <c r="F29"/>
      <c r="G29" s="2">
        <f t="shared" si="10"/>
        <v>8500001</v>
      </c>
      <c r="H29" s="3" t="s">
        <v>104</v>
      </c>
      <c r="I29" s="2">
        <v>999999999</v>
      </c>
      <c r="J29" s="3" t="str">
        <f>IF(AND(G29&lt;=K16,K16&lt;=I29),"○","")</f>
        <v/>
      </c>
      <c r="K29" s="34" t="str">
        <f>IF(J29="○",K16-1950000,"")</f>
        <v/>
      </c>
      <c r="M29" s="2">
        <f t="shared" si="11"/>
        <v>8500001</v>
      </c>
      <c r="N29" s="3" t="s">
        <v>104</v>
      </c>
      <c r="O29" s="2">
        <v>999999999</v>
      </c>
      <c r="P29" s="3" t="str">
        <f>IF(AND(M29&lt;=Q16,Q16&lt;=O29),"○","")</f>
        <v/>
      </c>
      <c r="Q29" s="34" t="str">
        <f>IF(P29="○",Q16-1950000,"")</f>
        <v/>
      </c>
      <c r="S29" s="2">
        <f t="shared" si="12"/>
        <v>8500001</v>
      </c>
      <c r="T29" s="3" t="s">
        <v>104</v>
      </c>
      <c r="U29" s="2">
        <v>999999999</v>
      </c>
      <c r="V29" s="3" t="str">
        <f>IF(AND(S29&lt;=W16,W16&lt;=U29),"○","")</f>
        <v/>
      </c>
      <c r="W29" s="34" t="str">
        <f>IF(V29="○",W16-1950000,"")</f>
        <v/>
      </c>
    </row>
  </sheetData>
  <mergeCells count="8">
    <mergeCell ref="A3:C3"/>
    <mergeCell ref="G3:I3"/>
    <mergeCell ref="M3:O3"/>
    <mergeCell ref="S3:U3"/>
    <mergeCell ref="A18:C18"/>
    <mergeCell ref="G18:I18"/>
    <mergeCell ref="M18:O18"/>
    <mergeCell ref="S18:U18"/>
  </mergeCells>
  <phoneticPr fontId="1"/>
  <conditionalFormatting sqref="D4:D14">
    <cfRule type="containsText" dxfId="49" priority="55" operator="containsText" text="○">
      <formula>NOT(ISERROR(SEARCH("○",D4)))</formula>
    </cfRule>
  </conditionalFormatting>
  <conditionalFormatting sqref="D19:D29">
    <cfRule type="containsText" dxfId="48" priority="29" operator="containsText" text="○">
      <formula>NOT(ISERROR(SEARCH("○",D19)))</formula>
    </cfRule>
  </conditionalFormatting>
  <conditionalFormatting sqref="E4:E14">
    <cfRule type="notContainsBlanks" dxfId="47" priority="59" stopIfTrue="1">
      <formula>LEN(TRIM(E4))&gt;0</formula>
    </cfRule>
  </conditionalFormatting>
  <conditionalFormatting sqref="E19:E29">
    <cfRule type="notContainsBlanks" dxfId="46" priority="11" stopIfTrue="1">
      <formula>LEN(TRIM(E19))&gt;0</formula>
    </cfRule>
  </conditionalFormatting>
  <conditionalFormatting sqref="J4:J14">
    <cfRule type="containsText" dxfId="45" priority="30" operator="containsText" text="○">
      <formula>NOT(ISERROR(SEARCH("○",J4)))</formula>
    </cfRule>
  </conditionalFormatting>
  <conditionalFormatting sqref="J19:J29">
    <cfRule type="containsText" dxfId="44" priority="28" operator="containsText" text="○">
      <formula>NOT(ISERROR(SEARCH("○",J19)))</formula>
    </cfRule>
  </conditionalFormatting>
  <conditionalFormatting sqref="K4:K14">
    <cfRule type="notContainsBlanks" dxfId="43" priority="13" stopIfTrue="1">
      <formula>LEN(TRIM(K4))&gt;0</formula>
    </cfRule>
  </conditionalFormatting>
  <conditionalFormatting sqref="K19:K29">
    <cfRule type="notContainsBlanks" dxfId="42" priority="9" stopIfTrue="1">
      <formula>LEN(TRIM(K19))&gt;0</formula>
    </cfRule>
  </conditionalFormatting>
  <conditionalFormatting sqref="P4:P14">
    <cfRule type="containsText" dxfId="41" priority="27" operator="containsText" text="○">
      <formula>NOT(ISERROR(SEARCH("○",P4)))</formula>
    </cfRule>
  </conditionalFormatting>
  <conditionalFormatting sqref="P19:P29">
    <cfRule type="containsText" dxfId="40" priority="26" operator="containsText" text="○">
      <formula>NOT(ISERROR(SEARCH("○",P19)))</formula>
    </cfRule>
  </conditionalFormatting>
  <conditionalFormatting sqref="Q4:Q14">
    <cfRule type="notContainsBlanks" dxfId="39" priority="1" stopIfTrue="1">
      <formula>LEN(TRIM(Q4))&gt;0</formula>
    </cfRule>
  </conditionalFormatting>
  <conditionalFormatting sqref="Q19:Q29">
    <cfRule type="notContainsBlanks" dxfId="38" priority="2" stopIfTrue="1">
      <formula>LEN(TRIM(Q19))&gt;0</formula>
    </cfRule>
  </conditionalFormatting>
  <conditionalFormatting sqref="V4:V14">
    <cfRule type="containsText" dxfId="37" priority="25" operator="containsText" text="○">
      <formula>NOT(ISERROR(SEARCH("○",V4)))</formula>
    </cfRule>
  </conditionalFormatting>
  <conditionalFormatting sqref="V19:V29">
    <cfRule type="containsText" dxfId="36" priority="24" operator="containsText" text="○">
      <formula>NOT(ISERROR(SEARCH("○",V19)))</formula>
    </cfRule>
  </conditionalFormatting>
  <conditionalFormatting sqref="W4:W14">
    <cfRule type="notContainsBlanks" dxfId="35" priority="4" stopIfTrue="1">
      <formula>LEN(TRIM(W4))&gt;0</formula>
    </cfRule>
  </conditionalFormatting>
  <conditionalFormatting sqref="W19:W29">
    <cfRule type="notContainsBlanks" dxfId="34" priority="3" stopIfTrue="1">
      <formula>LEN(TRIM(W19))&gt;0</formula>
    </cfRule>
  </conditionalFormatting>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K34"/>
  <sheetViews>
    <sheetView windowProtection="1" workbookViewId="0">
      <selection activeCell="G5" sqref="G5"/>
    </sheetView>
  </sheetViews>
  <sheetFormatPr defaultRowHeight="13" x14ac:dyDescent="0.2"/>
  <cols>
    <col min="1" max="1" width="9" style="17"/>
    <col min="2" max="2" width="4.26953125" style="19" customWidth="1"/>
    <col min="3" max="3" width="12.6328125" style="17" customWidth="1"/>
    <col min="4" max="4" width="4.26953125" style="19" customWidth="1"/>
    <col min="5" max="5" width="10.90625" style="17" customWidth="1"/>
    <col min="6" max="6" width="4.26953125" style="19" customWidth="1"/>
    <col min="7" max="7" width="9.7265625" style="17" customWidth="1"/>
    <col min="9" max="9" width="9" style="17"/>
    <col min="10" max="10" width="4.26953125" style="19" customWidth="1"/>
    <col min="11" max="11" width="12.6328125" style="17" customWidth="1"/>
    <col min="12" max="12" width="4.26953125" style="19" customWidth="1"/>
    <col min="13" max="13" width="10.90625" style="31" customWidth="1"/>
    <col min="14" max="14" width="4.26953125" style="19" customWidth="1"/>
    <col min="15" max="15" width="9.7265625" style="17" customWidth="1"/>
    <col min="17" max="17" width="9" style="17"/>
    <col min="18" max="18" width="4.26953125" style="19" customWidth="1"/>
    <col min="19" max="19" width="12.6328125" style="31" customWidth="1"/>
    <col min="20" max="20" width="4.26953125" style="19" customWidth="1"/>
    <col min="21" max="21" width="10.90625" style="31" customWidth="1"/>
    <col min="22" max="22" width="4.26953125" style="19" customWidth="1"/>
    <col min="23" max="23" width="9.7265625" style="17" customWidth="1"/>
    <col min="25" max="25" width="9" style="17"/>
    <col min="26" max="26" width="4.26953125" style="19" customWidth="1"/>
    <col min="27" max="27" width="12.6328125" style="17" customWidth="1"/>
    <col min="28" max="28" width="4.26953125" style="19" customWidth="1"/>
    <col min="29" max="29" width="10.90625" style="17" customWidth="1"/>
    <col min="30" max="30" width="4.26953125" style="19" customWidth="1"/>
    <col min="31" max="31" width="9.7265625" style="17" customWidth="1"/>
    <col min="33" max="33" width="9" style="17"/>
    <col min="34" max="34" width="4.26953125" style="19" customWidth="1"/>
    <col min="35" max="35" width="12.6328125" style="17" customWidth="1"/>
    <col min="36" max="36" width="4.26953125" style="19" customWidth="1"/>
    <col min="37" max="37" width="10.90625" style="17" customWidth="1"/>
    <col min="38" max="38" width="4.26953125" style="19" customWidth="1"/>
    <col min="39" max="39" width="9.7265625" style="17" customWidth="1"/>
    <col min="41" max="41" width="9" style="17"/>
    <col min="42" max="42" width="4.26953125" style="19" customWidth="1"/>
    <col min="43" max="43" width="12.6328125" style="17" customWidth="1"/>
    <col min="44" max="44" width="4.26953125" style="19" customWidth="1"/>
    <col min="45" max="45" width="10.90625" style="17" customWidth="1"/>
    <col min="46" max="46" width="4.26953125" style="19" customWidth="1"/>
    <col min="47" max="47" width="9.7265625" style="17" customWidth="1"/>
    <col min="49" max="49" width="9" style="17"/>
    <col min="50" max="50" width="4.26953125" style="19" customWidth="1"/>
    <col min="51" max="51" width="12.6328125" style="17" customWidth="1"/>
    <col min="52" max="52" width="4.26953125" style="19" customWidth="1"/>
    <col min="53" max="53" width="10.90625" style="17" customWidth="1"/>
    <col min="54" max="54" width="4.26953125" style="19" customWidth="1"/>
    <col min="55" max="55" width="9.7265625" style="17" customWidth="1"/>
    <col min="57" max="57" width="9" style="17"/>
    <col min="58" max="58" width="4.26953125" style="19" customWidth="1"/>
    <col min="59" max="59" width="12.6328125" style="17" customWidth="1"/>
    <col min="60" max="60" width="4.26953125" style="19" customWidth="1"/>
    <col min="61" max="61" width="10.90625" style="17" customWidth="1"/>
    <col min="62" max="62" width="4.26953125" style="19" customWidth="1"/>
    <col min="63" max="63" width="9.7265625" style="17" customWidth="1"/>
  </cols>
  <sheetData>
    <row r="1" spans="1:63" x14ac:dyDescent="0.2">
      <c r="A1" s="17" t="s">
        <v>42</v>
      </c>
      <c r="B1" s="35" t="str">
        <f>【令和8年度】大崎上島町国民健康保険税試算!D9</f>
        <v/>
      </c>
      <c r="C1" s="18"/>
      <c r="D1" s="26"/>
      <c r="E1"/>
      <c r="F1" s="18" t="s">
        <v>116</v>
      </c>
      <c r="G1" s="24">
        <f>【令和8年度】大崎上島町国民健康保険税試算!I9</f>
        <v>0</v>
      </c>
      <c r="H1" s="26"/>
      <c r="I1" s="17" t="s">
        <v>106</v>
      </c>
      <c r="J1" s="35" t="str">
        <f>【令和8年度】大崎上島町国民健康保険税試算!D10</f>
        <v/>
      </c>
      <c r="K1" s="18"/>
      <c r="L1" s="26"/>
      <c r="M1" s="14"/>
      <c r="N1" s="18" t="s">
        <v>116</v>
      </c>
      <c r="O1" s="24">
        <f>【令和8年度】大崎上島町国民健康保険税試算!I10</f>
        <v>0</v>
      </c>
      <c r="Q1" s="17" t="s">
        <v>107</v>
      </c>
      <c r="R1" s="35" t="str">
        <f>【令和8年度】大崎上島町国民健康保険税試算!D11</f>
        <v/>
      </c>
      <c r="S1" s="32"/>
      <c r="T1" s="26"/>
      <c r="U1" s="14"/>
      <c r="V1" s="18" t="s">
        <v>116</v>
      </c>
      <c r="W1" s="24">
        <f>【令和8年度】大崎上島町国民健康保険税試算!I11</f>
        <v>0</v>
      </c>
      <c r="Y1" s="17" t="s">
        <v>108</v>
      </c>
      <c r="Z1" s="35" t="str">
        <f>【令和8年度】大崎上島町国民健康保険税試算!D12</f>
        <v/>
      </c>
      <c r="AA1" s="18"/>
      <c r="AB1" s="26"/>
      <c r="AC1"/>
      <c r="AD1" s="18" t="s">
        <v>116</v>
      </c>
      <c r="AE1" s="24">
        <f>【令和8年度】大崎上島町国民健康保険税試算!I12</f>
        <v>0</v>
      </c>
      <c r="AG1" s="17" t="s">
        <v>112</v>
      </c>
      <c r="AH1" s="35" t="str">
        <f>【令和8年度】大崎上島町国民健康保険税試算!D13</f>
        <v/>
      </c>
      <c r="AI1" s="18"/>
      <c r="AJ1" s="26"/>
      <c r="AK1"/>
      <c r="AL1" s="18" t="s">
        <v>116</v>
      </c>
      <c r="AM1" s="24">
        <f>【令和8年度】大崎上島町国民健康保険税試算!I13</f>
        <v>0</v>
      </c>
      <c r="AO1" s="17" t="s">
        <v>113</v>
      </c>
      <c r="AP1" s="35" t="str">
        <f>【令和8年度】大崎上島町国民健康保険税試算!D14</f>
        <v/>
      </c>
      <c r="AQ1" s="18"/>
      <c r="AR1" s="26"/>
      <c r="AS1"/>
      <c r="AT1" s="18" t="s">
        <v>116</v>
      </c>
      <c r="AU1" s="24">
        <f>【令和8年度】大崎上島町国民健康保険税試算!I14</f>
        <v>0</v>
      </c>
      <c r="AW1" s="17" t="s">
        <v>114</v>
      </c>
      <c r="AX1" s="35" t="str">
        <f>【令和8年度】大崎上島町国民健康保険税試算!D15</f>
        <v/>
      </c>
      <c r="AY1" s="18"/>
      <c r="AZ1" s="26"/>
      <c r="BA1"/>
      <c r="BB1" s="18" t="s">
        <v>116</v>
      </c>
      <c r="BC1" s="24">
        <f>【令和8年度】大崎上島町国民健康保険税試算!I15</f>
        <v>0</v>
      </c>
      <c r="BE1" s="17" t="s">
        <v>115</v>
      </c>
      <c r="BF1" s="35" t="str">
        <f>【令和8年度】大崎上島町国民健康保険税試算!D16</f>
        <v/>
      </c>
      <c r="BG1" s="18"/>
      <c r="BH1" s="26"/>
      <c r="BI1"/>
      <c r="BJ1" s="18" t="s">
        <v>116</v>
      </c>
      <c r="BK1" s="24">
        <f>【令和8年度】大崎上島町国民健康保険税試算!I16</f>
        <v>0</v>
      </c>
    </row>
    <row r="2" spans="1:63" x14ac:dyDescent="0.2">
      <c r="B2" s="17"/>
      <c r="D2" s="26"/>
      <c r="E2" s="167" t="s">
        <v>117</v>
      </c>
      <c r="F2" s="167"/>
      <c r="G2" s="24">
        <f>【令和8年度】大崎上島町国民健康保険税試算!H9+【令和8年度】大崎上島町国民健康保険税試算!K9</f>
        <v>0</v>
      </c>
      <c r="H2" s="26"/>
      <c r="J2" s="17"/>
      <c r="L2" s="26"/>
      <c r="M2" s="167" t="s">
        <v>117</v>
      </c>
      <c r="N2" s="167"/>
      <c r="O2" s="24">
        <f>【令和8年度】大崎上島町国民健康保険税試算!H10+【令和8年度】大崎上島町国民健康保険税試算!K10</f>
        <v>0</v>
      </c>
      <c r="R2" s="17"/>
      <c r="T2" s="26"/>
      <c r="U2" s="167" t="s">
        <v>117</v>
      </c>
      <c r="V2" s="167"/>
      <c r="W2" s="24">
        <f>【令和8年度】大崎上島町国民健康保険税試算!H11+【令和8年度】大崎上島町国民健康保険税試算!K11</f>
        <v>0</v>
      </c>
      <c r="Z2" s="17"/>
      <c r="AB2" s="26"/>
      <c r="AC2" s="167" t="s">
        <v>117</v>
      </c>
      <c r="AD2" s="167"/>
      <c r="AE2" s="24">
        <f>【令和8年度】大崎上島町国民健康保険税試算!H12+【令和8年度】大崎上島町国民健康保険税試算!K12</f>
        <v>0</v>
      </c>
      <c r="AH2" s="17"/>
      <c r="AJ2" s="26"/>
      <c r="AK2" s="167" t="s">
        <v>117</v>
      </c>
      <c r="AL2" s="167"/>
      <c r="AM2" s="24">
        <f>【令和8年度】大崎上島町国民健康保険税試算!H13+【令和8年度】大崎上島町国民健康保険税試算!K13</f>
        <v>0</v>
      </c>
      <c r="AP2" s="17"/>
      <c r="AR2" s="26"/>
      <c r="AS2" s="167" t="s">
        <v>117</v>
      </c>
      <c r="AT2" s="167"/>
      <c r="AU2" s="24">
        <f>【令和8年度】大崎上島町国民健康保険税試算!H14+【令和8年度】大崎上島町国民健康保険税試算!K14</f>
        <v>0</v>
      </c>
      <c r="AX2" s="17"/>
      <c r="AZ2" s="26"/>
      <c r="BA2" s="167" t="s">
        <v>117</v>
      </c>
      <c r="BB2" s="167"/>
      <c r="BC2" s="24">
        <f>【令和8年度】大崎上島町国民健康保険税試算!H15+【令和8年度】大崎上島町国民健康保険税試算!K15</f>
        <v>0</v>
      </c>
      <c r="BF2" s="17"/>
      <c r="BH2" s="26"/>
      <c r="BI2" s="167" t="s">
        <v>117</v>
      </c>
      <c r="BJ2" s="167"/>
      <c r="BK2" s="24">
        <f>【令和8年度】大崎上島町国民健康保険税試算!H16+【令和8年度】大崎上島町国民健康保険税試算!K16</f>
        <v>0</v>
      </c>
    </row>
    <row r="3" spans="1:63" x14ac:dyDescent="0.2">
      <c r="A3" s="22"/>
      <c r="B3" s="23"/>
      <c r="C3" s="18"/>
      <c r="D3" s="25"/>
      <c r="E3" s="23"/>
      <c r="F3" s="18" t="s">
        <v>118</v>
      </c>
      <c r="G3" s="33">
        <f>MAX(G5:G34)</f>
        <v>0</v>
      </c>
      <c r="H3" s="26"/>
      <c r="I3" s="22"/>
      <c r="J3" s="23"/>
      <c r="K3" s="18"/>
      <c r="L3" s="25"/>
      <c r="M3" s="30"/>
      <c r="N3" s="18" t="s">
        <v>118</v>
      </c>
      <c r="O3" s="33">
        <f>MAX(O5:O34)</f>
        <v>0</v>
      </c>
      <c r="Q3" s="22"/>
      <c r="R3" s="23"/>
      <c r="S3" s="32"/>
      <c r="T3" s="25"/>
      <c r="U3" s="30"/>
      <c r="V3" s="18" t="s">
        <v>118</v>
      </c>
      <c r="W3" s="33">
        <f>MAX(W5:W34)</f>
        <v>0</v>
      </c>
      <c r="Y3" s="22"/>
      <c r="Z3" s="23"/>
      <c r="AA3" s="18"/>
      <c r="AB3" s="25"/>
      <c r="AC3" s="23"/>
      <c r="AD3" s="18" t="s">
        <v>118</v>
      </c>
      <c r="AE3" s="33">
        <f>MAX(AE5:AE34)</f>
        <v>0</v>
      </c>
      <c r="AG3" s="22"/>
      <c r="AH3" s="23"/>
      <c r="AI3" s="18"/>
      <c r="AJ3" s="25"/>
      <c r="AK3" s="23"/>
      <c r="AL3" s="18" t="s">
        <v>118</v>
      </c>
      <c r="AM3" s="33">
        <f>MAX(AM5:AM34)</f>
        <v>0</v>
      </c>
      <c r="AO3" s="22"/>
      <c r="AP3" s="23"/>
      <c r="AQ3" s="18"/>
      <c r="AR3" s="25"/>
      <c r="AS3" s="23"/>
      <c r="AT3" s="18" t="s">
        <v>118</v>
      </c>
      <c r="AU3" s="33">
        <f>MAX(AU5:AU34)</f>
        <v>0</v>
      </c>
      <c r="AW3" s="22"/>
      <c r="AX3" s="23"/>
      <c r="AY3" s="18"/>
      <c r="AZ3" s="25"/>
      <c r="BA3" s="23"/>
      <c r="BB3" s="18" t="s">
        <v>118</v>
      </c>
      <c r="BC3" s="33">
        <f>MAX(BC5:BC34)</f>
        <v>0</v>
      </c>
      <c r="BE3" s="22"/>
      <c r="BF3" s="23"/>
      <c r="BG3" s="18"/>
      <c r="BH3" s="25"/>
      <c r="BI3" s="23"/>
      <c r="BJ3" s="18" t="s">
        <v>118</v>
      </c>
      <c r="BK3" s="33">
        <f>MAX(BK5:BK34)</f>
        <v>0</v>
      </c>
    </row>
    <row r="4" spans="1:63" x14ac:dyDescent="0.2">
      <c r="A4" s="168" t="s">
        <v>119</v>
      </c>
      <c r="B4" s="168"/>
      <c r="C4" s="168" t="s">
        <v>120</v>
      </c>
      <c r="D4" s="168"/>
      <c r="E4" s="169" t="s">
        <v>121</v>
      </c>
      <c r="F4" s="169"/>
      <c r="G4" s="28" t="s">
        <v>122</v>
      </c>
      <c r="H4" s="27"/>
      <c r="I4" s="168" t="s">
        <v>119</v>
      </c>
      <c r="J4" s="168"/>
      <c r="K4" s="168" t="s">
        <v>120</v>
      </c>
      <c r="L4" s="168"/>
      <c r="M4" s="169" t="s">
        <v>121</v>
      </c>
      <c r="N4" s="169"/>
      <c r="O4" s="28" t="s">
        <v>122</v>
      </c>
      <c r="Q4" s="168" t="s">
        <v>119</v>
      </c>
      <c r="R4" s="168"/>
      <c r="S4" s="168" t="s">
        <v>120</v>
      </c>
      <c r="T4" s="168"/>
      <c r="U4" s="169" t="s">
        <v>121</v>
      </c>
      <c r="V4" s="169"/>
      <c r="W4" s="28" t="s">
        <v>122</v>
      </c>
      <c r="Y4" s="168" t="s">
        <v>119</v>
      </c>
      <c r="Z4" s="168"/>
      <c r="AA4" s="168" t="s">
        <v>120</v>
      </c>
      <c r="AB4" s="168"/>
      <c r="AC4" s="169" t="s">
        <v>121</v>
      </c>
      <c r="AD4" s="169"/>
      <c r="AE4" s="28" t="s">
        <v>122</v>
      </c>
      <c r="AG4" s="170" t="s">
        <v>119</v>
      </c>
      <c r="AH4" s="170"/>
      <c r="AI4" s="168" t="s">
        <v>120</v>
      </c>
      <c r="AJ4" s="168"/>
      <c r="AK4" s="169" t="s">
        <v>121</v>
      </c>
      <c r="AL4" s="169"/>
      <c r="AM4" s="28" t="s">
        <v>122</v>
      </c>
      <c r="AO4" s="168" t="s">
        <v>119</v>
      </c>
      <c r="AP4" s="168"/>
      <c r="AQ4" s="168" t="s">
        <v>120</v>
      </c>
      <c r="AR4" s="168"/>
      <c r="AS4" s="169" t="s">
        <v>121</v>
      </c>
      <c r="AT4" s="169"/>
      <c r="AU4" s="28" t="s">
        <v>122</v>
      </c>
      <c r="AW4" s="168" t="s">
        <v>119</v>
      </c>
      <c r="AX4" s="168"/>
      <c r="AY4" s="168" t="s">
        <v>120</v>
      </c>
      <c r="AZ4" s="168"/>
      <c r="BA4" s="169" t="s">
        <v>121</v>
      </c>
      <c r="BB4" s="169"/>
      <c r="BC4" s="28" t="s">
        <v>122</v>
      </c>
      <c r="BE4" s="168" t="s">
        <v>119</v>
      </c>
      <c r="BF4" s="168"/>
      <c r="BG4" s="168" t="s">
        <v>120</v>
      </c>
      <c r="BH4" s="168"/>
      <c r="BI4" s="169" t="s">
        <v>121</v>
      </c>
      <c r="BJ4" s="169"/>
      <c r="BK4" s="28" t="s">
        <v>122</v>
      </c>
    </row>
    <row r="5" spans="1:63" ht="18.75" customHeight="1" x14ac:dyDescent="0.2">
      <c r="A5" s="170" t="s">
        <v>123</v>
      </c>
      <c r="B5" s="166" t="str">
        <f>IF(B1&lt;65,"○","")</f>
        <v/>
      </c>
      <c r="C5" s="171" t="s">
        <v>124</v>
      </c>
      <c r="D5" s="166" t="str">
        <f>IF(B5="○",IF(G2&lt;=10000000,"○",""),"")</f>
        <v/>
      </c>
      <c r="E5" s="15" t="s">
        <v>125</v>
      </c>
      <c r="F5" s="20" t="str">
        <f>IF(D5="○",IF(G1&lt;=1300000,"○",""),"")</f>
        <v/>
      </c>
      <c r="G5" s="21" t="str">
        <f>IF(F5="○",MAX(0,G1-600000),"")</f>
        <v/>
      </c>
      <c r="I5" s="170" t="s">
        <v>123</v>
      </c>
      <c r="J5" s="166" t="str">
        <f>IF(J1&lt;65,"○","")</f>
        <v/>
      </c>
      <c r="K5" s="170" t="s">
        <v>124</v>
      </c>
      <c r="L5" s="166" t="str">
        <f>IF(J5="○",IF(O2&lt;=10000000,"○",""),"")</f>
        <v/>
      </c>
      <c r="M5" s="16" t="s">
        <v>125</v>
      </c>
      <c r="N5" s="20" t="str">
        <f>IF(L5="○",IF(O1&lt;=1300000,"○",""),"")</f>
        <v/>
      </c>
      <c r="O5" s="21" t="str">
        <f>IF(N5="○",MAX(0,O1-600000),"")</f>
        <v/>
      </c>
      <c r="Q5" s="170" t="s">
        <v>123</v>
      </c>
      <c r="R5" s="166" t="str">
        <f>IF(R1&lt;65,"○","")</f>
        <v/>
      </c>
      <c r="S5" s="165" t="s">
        <v>124</v>
      </c>
      <c r="T5" s="166" t="str">
        <f>IF(R5="○",IF(W2&lt;=10000000,"○",""),"")</f>
        <v/>
      </c>
      <c r="U5" s="16" t="s">
        <v>125</v>
      </c>
      <c r="V5" s="20" t="str">
        <f>IF(T5="○",IF(W1&lt;=1300000,"○",""),"")</f>
        <v/>
      </c>
      <c r="W5" s="21" t="str">
        <f>IF(V5="○",MAX(0,W1-600000),"")</f>
        <v/>
      </c>
      <c r="Y5" s="170" t="s">
        <v>123</v>
      </c>
      <c r="Z5" s="166" t="str">
        <f>IF(Z1&lt;65,"○","")</f>
        <v/>
      </c>
      <c r="AA5" s="165" t="s">
        <v>124</v>
      </c>
      <c r="AB5" s="166" t="str">
        <f>IF(Z5="○",IF(AE2&lt;=10000000,"○",""),"")</f>
        <v/>
      </c>
      <c r="AC5" s="16" t="s">
        <v>125</v>
      </c>
      <c r="AD5" s="20" t="str">
        <f>IF(AB5="○",IF(AE1&lt;=1300000,"○",""),"")</f>
        <v/>
      </c>
      <c r="AE5" s="21" t="str">
        <f>IF(AD5="○",MAX(0,AE1-600000),"")</f>
        <v/>
      </c>
      <c r="AG5" s="170" t="s">
        <v>123</v>
      </c>
      <c r="AH5" s="166" t="str">
        <f>IF(AH1&lt;65,"○","")</f>
        <v/>
      </c>
      <c r="AI5" s="165" t="s">
        <v>124</v>
      </c>
      <c r="AJ5" s="166" t="str">
        <f>IF(AH5="○",IF(AM2&lt;=10000000,"○",""),"")</f>
        <v/>
      </c>
      <c r="AK5" s="16" t="s">
        <v>125</v>
      </c>
      <c r="AL5" s="20" t="str">
        <f>IF(AJ5="○",IF(AM1&lt;=1300000,"○",""),"")</f>
        <v/>
      </c>
      <c r="AM5" s="21" t="str">
        <f>IF(AL5="○",MAX(0,AM1-600000),"")</f>
        <v/>
      </c>
      <c r="AO5" s="170" t="s">
        <v>123</v>
      </c>
      <c r="AP5" s="166" t="str">
        <f>IF(AP1&lt;65,"○","")</f>
        <v/>
      </c>
      <c r="AQ5" s="165" t="s">
        <v>124</v>
      </c>
      <c r="AR5" s="166" t="str">
        <f>IF(AP5="○",IF(AU2&lt;=10000000,"○",""),"")</f>
        <v/>
      </c>
      <c r="AS5" s="16" t="s">
        <v>125</v>
      </c>
      <c r="AT5" s="20" t="str">
        <f>IF(AR5="○",IF(AU1&lt;=1300000,"○",""),"")</f>
        <v/>
      </c>
      <c r="AU5" s="21" t="str">
        <f>IF(AT5="○",MAX(0,AU1-600000),"")</f>
        <v/>
      </c>
      <c r="AW5" s="170" t="s">
        <v>123</v>
      </c>
      <c r="AX5" s="166" t="str">
        <f>IF(AX1&lt;65,"○","")</f>
        <v/>
      </c>
      <c r="AY5" s="165" t="s">
        <v>124</v>
      </c>
      <c r="AZ5" s="166" t="str">
        <f>IF(AX5="○",IF(BC2&lt;=10000000,"○",""),"")</f>
        <v/>
      </c>
      <c r="BA5" s="16" t="s">
        <v>125</v>
      </c>
      <c r="BB5" s="20" t="str">
        <f>IF(AZ5="○",IF(BC1&lt;=1300000,"○",""),"")</f>
        <v/>
      </c>
      <c r="BC5" s="21" t="str">
        <f>IF(BB5="○",MAX(0,BC1-600000),"")</f>
        <v/>
      </c>
      <c r="BE5" s="170" t="s">
        <v>123</v>
      </c>
      <c r="BF5" s="166" t="str">
        <f>IF(BF1&lt;65,"○","")</f>
        <v/>
      </c>
      <c r="BG5" s="165" t="s">
        <v>124</v>
      </c>
      <c r="BH5" s="166" t="str">
        <f>IF(BF5="○",IF(BK2&lt;=10000000,"○",""),"")</f>
        <v/>
      </c>
      <c r="BI5" s="16" t="s">
        <v>125</v>
      </c>
      <c r="BJ5" s="20" t="str">
        <f>IF(BH5="○",IF(BK1&lt;=1300000,"○",""),"")</f>
        <v/>
      </c>
      <c r="BK5" s="21" t="str">
        <f>IF(BJ5="○",MAX(0,BK1-600000),"")</f>
        <v/>
      </c>
    </row>
    <row r="6" spans="1:63" ht="18.75" customHeight="1" x14ac:dyDescent="0.2">
      <c r="A6" s="170"/>
      <c r="B6" s="166"/>
      <c r="C6" s="172"/>
      <c r="D6" s="166"/>
      <c r="E6" s="16" t="s">
        <v>126</v>
      </c>
      <c r="F6" s="20" t="str">
        <f>IF(D5="○",IF(AND(1300000&lt;G1,G1&lt;=4100000),"○",""),"")</f>
        <v/>
      </c>
      <c r="G6" s="21" t="str">
        <f>IF(F6="○",MAX(0,G1*0.75-275000),"")</f>
        <v/>
      </c>
      <c r="I6" s="170"/>
      <c r="J6" s="166"/>
      <c r="K6" s="170"/>
      <c r="L6" s="166"/>
      <c r="M6" s="16" t="s">
        <v>126</v>
      </c>
      <c r="N6" s="20" t="str">
        <f>IF(L5="○",IF(AND(1300000&lt;O1,O1&lt;=4100000),"○",""),"")</f>
        <v/>
      </c>
      <c r="O6" s="21" t="str">
        <f>IF(N6="○",MAX(0,O1*0.75-275000),"")</f>
        <v/>
      </c>
      <c r="Q6" s="170"/>
      <c r="R6" s="166"/>
      <c r="S6" s="165"/>
      <c r="T6" s="166"/>
      <c r="U6" s="16" t="s">
        <v>126</v>
      </c>
      <c r="V6" s="20" t="str">
        <f>IF(T5="○",IF(AND(1300000&lt;W1,W1&lt;=4100000),"○",""),"")</f>
        <v/>
      </c>
      <c r="W6" s="21" t="str">
        <f>IF(V6="○",MAX(0,W1*0.75-275000),"")</f>
        <v/>
      </c>
      <c r="Y6" s="170"/>
      <c r="Z6" s="166"/>
      <c r="AA6" s="165"/>
      <c r="AB6" s="166"/>
      <c r="AC6" s="16" t="s">
        <v>126</v>
      </c>
      <c r="AD6" s="20" t="str">
        <f>IF(AB5="○",IF(AND(1300000&lt;AE1,AE1&lt;=4100000),"○",""),"")</f>
        <v/>
      </c>
      <c r="AE6" s="21" t="str">
        <f>IF(AD6="○",MAX(0,AE1*0.75-275000),"")</f>
        <v/>
      </c>
      <c r="AG6" s="170"/>
      <c r="AH6" s="166"/>
      <c r="AI6" s="165"/>
      <c r="AJ6" s="166"/>
      <c r="AK6" s="16" t="s">
        <v>126</v>
      </c>
      <c r="AL6" s="20" t="str">
        <f>IF(AJ5="○",IF(AND(1300000&lt;AM1,AM1&lt;=4100000),"○",""),"")</f>
        <v/>
      </c>
      <c r="AM6" s="21" t="str">
        <f>IF(AL6="○",MAX(0,AM1*0.75-275000),"")</f>
        <v/>
      </c>
      <c r="AO6" s="170"/>
      <c r="AP6" s="166"/>
      <c r="AQ6" s="165"/>
      <c r="AR6" s="166"/>
      <c r="AS6" s="16" t="s">
        <v>126</v>
      </c>
      <c r="AT6" s="20" t="str">
        <f>IF(AR5="○",IF(AND(1300000&lt;AU1,AU1&lt;=4100000),"○",""),"")</f>
        <v/>
      </c>
      <c r="AU6" s="21" t="str">
        <f>IF(AT6="○",MAX(0,AU1*0.75-275000),"")</f>
        <v/>
      </c>
      <c r="AW6" s="170"/>
      <c r="AX6" s="166"/>
      <c r="AY6" s="165"/>
      <c r="AZ6" s="166"/>
      <c r="BA6" s="16" t="s">
        <v>126</v>
      </c>
      <c r="BB6" s="20" t="str">
        <f>IF(AZ5="○",IF(AND(1300000&lt;BC1,BC1&lt;=4100000),"○",""),"")</f>
        <v/>
      </c>
      <c r="BC6" s="21" t="str">
        <f>IF(BB6="○",MAX(0,BC1*0.75-275000),"")</f>
        <v/>
      </c>
      <c r="BE6" s="170"/>
      <c r="BF6" s="166"/>
      <c r="BG6" s="165"/>
      <c r="BH6" s="166"/>
      <c r="BI6" s="16" t="s">
        <v>126</v>
      </c>
      <c r="BJ6" s="20" t="str">
        <f>IF(BH5="○",IF(AND(1300000&lt;BK1,BK1&lt;=4100000),"○",""),"")</f>
        <v/>
      </c>
      <c r="BK6" s="21" t="str">
        <f>IF(BJ6="○",MAX(0,BK1*0.75-275000),"")</f>
        <v/>
      </c>
    </row>
    <row r="7" spans="1:63" ht="18.75" customHeight="1" x14ac:dyDescent="0.2">
      <c r="A7" s="170"/>
      <c r="B7" s="166"/>
      <c r="C7" s="172"/>
      <c r="D7" s="166"/>
      <c r="E7" s="16" t="s">
        <v>127</v>
      </c>
      <c r="F7" s="20" t="str">
        <f>IF(D5="○",IF(AND(4100000&lt;G1,G1&lt;=7700000),"○",""),"")</f>
        <v/>
      </c>
      <c r="G7" s="21" t="str">
        <f>IF(F7="○",MAX(0,G1*0.85-685000),"")</f>
        <v/>
      </c>
      <c r="I7" s="170"/>
      <c r="J7" s="166"/>
      <c r="K7" s="170"/>
      <c r="L7" s="166"/>
      <c r="M7" s="16" t="s">
        <v>127</v>
      </c>
      <c r="N7" s="20" t="str">
        <f>IF(L5="○",IF(AND(4100000&lt;O1,O1&lt;=7700000),"○",""),"")</f>
        <v/>
      </c>
      <c r="O7" s="21" t="str">
        <f>IF(N7="○",MAX(0,O1*0.85-685000),"")</f>
        <v/>
      </c>
      <c r="Q7" s="170"/>
      <c r="R7" s="166"/>
      <c r="S7" s="165"/>
      <c r="T7" s="166"/>
      <c r="U7" s="16" t="s">
        <v>127</v>
      </c>
      <c r="V7" s="20" t="str">
        <f>IF(T5="○",IF(AND(4100000&lt;W1,W1&lt;=7700000),"○",""),"")</f>
        <v/>
      </c>
      <c r="W7" s="21" t="str">
        <f>IF(V7="○",MAX(0,W1*0.85-685000),"")</f>
        <v/>
      </c>
      <c r="Y7" s="170"/>
      <c r="Z7" s="166"/>
      <c r="AA7" s="165"/>
      <c r="AB7" s="166"/>
      <c r="AC7" s="16" t="s">
        <v>127</v>
      </c>
      <c r="AD7" s="20" t="str">
        <f>IF(AB5="○",IF(AND(4100000&lt;AE1,AE1&lt;=7700000),"○",""),"")</f>
        <v/>
      </c>
      <c r="AE7" s="21" t="str">
        <f>IF(AD7="○",MAX(0,AE1*0.85-685000),"")</f>
        <v/>
      </c>
      <c r="AG7" s="170"/>
      <c r="AH7" s="166"/>
      <c r="AI7" s="165"/>
      <c r="AJ7" s="166"/>
      <c r="AK7" s="16" t="s">
        <v>127</v>
      </c>
      <c r="AL7" s="20" t="str">
        <f>IF(AJ5="○",IF(AND(4100000&lt;AM1,AM1&lt;=7700000),"○",""),"")</f>
        <v/>
      </c>
      <c r="AM7" s="21" t="str">
        <f>IF(AL7="○",MAX(0,AM1*0.85-685000),"")</f>
        <v/>
      </c>
      <c r="AO7" s="170"/>
      <c r="AP7" s="166"/>
      <c r="AQ7" s="165"/>
      <c r="AR7" s="166"/>
      <c r="AS7" s="16" t="s">
        <v>127</v>
      </c>
      <c r="AT7" s="20" t="str">
        <f>IF(AR5="○",IF(AND(4100000&lt;AU1,AU1&lt;=7700000),"○",""),"")</f>
        <v/>
      </c>
      <c r="AU7" s="21" t="str">
        <f>IF(AT7="○",MAX(0,AU1*0.85-685000),"")</f>
        <v/>
      </c>
      <c r="AW7" s="170"/>
      <c r="AX7" s="166"/>
      <c r="AY7" s="165"/>
      <c r="AZ7" s="166"/>
      <c r="BA7" s="16" t="s">
        <v>127</v>
      </c>
      <c r="BB7" s="20" t="str">
        <f>IF(AZ5="○",IF(AND(4100000&lt;BC1,BC1&lt;=7700000),"○",""),"")</f>
        <v/>
      </c>
      <c r="BC7" s="21" t="str">
        <f>IF(BB7="○",MAX(0,BC1*0.85-685000),"")</f>
        <v/>
      </c>
      <c r="BE7" s="170"/>
      <c r="BF7" s="166"/>
      <c r="BG7" s="165"/>
      <c r="BH7" s="166"/>
      <c r="BI7" s="16" t="s">
        <v>127</v>
      </c>
      <c r="BJ7" s="20" t="str">
        <f>IF(BH5="○",IF(AND(4100000&lt;BK1,BK1&lt;=7700000),"○",""),"")</f>
        <v/>
      </c>
      <c r="BK7" s="21" t="str">
        <f>IF(BJ7="○",MAX(0,BK1*0.85-685000),"")</f>
        <v/>
      </c>
    </row>
    <row r="8" spans="1:63" ht="18.75" customHeight="1" x14ac:dyDescent="0.2">
      <c r="A8" s="170"/>
      <c r="B8" s="166"/>
      <c r="C8" s="172"/>
      <c r="D8" s="166"/>
      <c r="E8" s="16" t="s">
        <v>128</v>
      </c>
      <c r="F8" s="20" t="str">
        <f>IF(D5="○",IF(AND(7700000&lt;G1,G1&lt;=10000000),"○",""),"")</f>
        <v/>
      </c>
      <c r="G8" s="21" t="str">
        <f>IF(F8="○",MAX(0,G1*0.95-1455000),"")</f>
        <v/>
      </c>
      <c r="I8" s="170"/>
      <c r="J8" s="166"/>
      <c r="K8" s="170"/>
      <c r="L8" s="166"/>
      <c r="M8" s="16" t="s">
        <v>128</v>
      </c>
      <c r="N8" s="20" t="str">
        <f>IF(L5="○",IF(AND(7700000&lt;O1,O1&lt;=10000000),"○",""),"")</f>
        <v/>
      </c>
      <c r="O8" s="21" t="str">
        <f>IF(N8="○",MAX(0,O1*0.95-1455000),"")</f>
        <v/>
      </c>
      <c r="Q8" s="170"/>
      <c r="R8" s="166"/>
      <c r="S8" s="165"/>
      <c r="T8" s="166"/>
      <c r="U8" s="16" t="s">
        <v>128</v>
      </c>
      <c r="V8" s="20" t="str">
        <f>IF(T5="○",IF(AND(7700000&lt;W1,W1&lt;=10000000),"○",""),"")</f>
        <v/>
      </c>
      <c r="W8" s="21" t="str">
        <f>IF(V8="○",MAX(0,W1*0.95-1455000),"")</f>
        <v/>
      </c>
      <c r="Y8" s="170"/>
      <c r="Z8" s="166"/>
      <c r="AA8" s="165"/>
      <c r="AB8" s="166"/>
      <c r="AC8" s="16" t="s">
        <v>128</v>
      </c>
      <c r="AD8" s="20" t="str">
        <f>IF(AB5="○",IF(AND(7700000&lt;AE1,AE1&lt;=10000000),"○",""),"")</f>
        <v/>
      </c>
      <c r="AE8" s="21" t="str">
        <f>IF(AD8="○",MAX(0,AE1*0.95-1455000),"")</f>
        <v/>
      </c>
      <c r="AG8" s="170"/>
      <c r="AH8" s="166"/>
      <c r="AI8" s="165"/>
      <c r="AJ8" s="166"/>
      <c r="AK8" s="16" t="s">
        <v>128</v>
      </c>
      <c r="AL8" s="20" t="str">
        <f>IF(AJ5="○",IF(AND(7700000&lt;AM1,AM1&lt;=10000000),"○",""),"")</f>
        <v/>
      </c>
      <c r="AM8" s="21" t="str">
        <f>IF(AL8="○",MAX(0,AM1*0.95-1455000),"")</f>
        <v/>
      </c>
      <c r="AO8" s="170"/>
      <c r="AP8" s="166"/>
      <c r="AQ8" s="165"/>
      <c r="AR8" s="166"/>
      <c r="AS8" s="16" t="s">
        <v>128</v>
      </c>
      <c r="AT8" s="20" t="str">
        <f>IF(AR5="○",IF(AND(7700000&lt;AU1,AU1&lt;=10000000),"○",""),"")</f>
        <v/>
      </c>
      <c r="AU8" s="21" t="str">
        <f>IF(AT8="○",MAX(0,AU1*0.95-1455000),"")</f>
        <v/>
      </c>
      <c r="AW8" s="170"/>
      <c r="AX8" s="166"/>
      <c r="AY8" s="165"/>
      <c r="AZ8" s="166"/>
      <c r="BA8" s="16" t="s">
        <v>128</v>
      </c>
      <c r="BB8" s="20" t="str">
        <f>IF(AZ5="○",IF(AND(7700000&lt;BC1,BC1&lt;=10000000),"○",""),"")</f>
        <v/>
      </c>
      <c r="BC8" s="21" t="str">
        <f>IF(BB8="○",MAX(0,BC1*0.95-1455000),"")</f>
        <v/>
      </c>
      <c r="BE8" s="170"/>
      <c r="BF8" s="166"/>
      <c r="BG8" s="165"/>
      <c r="BH8" s="166"/>
      <c r="BI8" s="16" t="s">
        <v>128</v>
      </c>
      <c r="BJ8" s="20" t="str">
        <f>IF(BH5="○",IF(AND(7700000&lt;BK1,BK1&lt;=10000000),"○",""),"")</f>
        <v/>
      </c>
      <c r="BK8" s="21" t="str">
        <f>IF(BJ8="○",MAX(0,BK1*0.95-1455000),"")</f>
        <v/>
      </c>
    </row>
    <row r="9" spans="1:63" ht="18.75" customHeight="1" x14ac:dyDescent="0.2">
      <c r="A9" s="170"/>
      <c r="B9" s="166"/>
      <c r="C9" s="173"/>
      <c r="D9" s="166"/>
      <c r="E9" s="16" t="s">
        <v>129</v>
      </c>
      <c r="F9" s="20" t="str">
        <f>IF(D5="○",IF(10000000&lt;G1,"○",""),"")</f>
        <v/>
      </c>
      <c r="G9" s="21" t="str">
        <f>IF(F9="○",MAX(0,G1-1955000),"")</f>
        <v/>
      </c>
      <c r="I9" s="170"/>
      <c r="J9" s="166"/>
      <c r="K9" s="170"/>
      <c r="L9" s="166"/>
      <c r="M9" s="16" t="s">
        <v>129</v>
      </c>
      <c r="N9" s="20" t="str">
        <f>IF(L5="○",IF(10000000&lt;O1,"○",""),"")</f>
        <v/>
      </c>
      <c r="O9" s="21" t="str">
        <f>IF(N9="○",MAX(0,O1-1955000),"")</f>
        <v/>
      </c>
      <c r="Q9" s="170"/>
      <c r="R9" s="166"/>
      <c r="S9" s="165"/>
      <c r="T9" s="166"/>
      <c r="U9" s="16" t="s">
        <v>129</v>
      </c>
      <c r="V9" s="20" t="str">
        <f>IF(T5="○",IF(10000000&lt;W1,"○",""),"")</f>
        <v/>
      </c>
      <c r="W9" s="21" t="str">
        <f>IF(V9="○",MAX(0,W1-1955000),"")</f>
        <v/>
      </c>
      <c r="Y9" s="170"/>
      <c r="Z9" s="166"/>
      <c r="AA9" s="165"/>
      <c r="AB9" s="166"/>
      <c r="AC9" s="16" t="s">
        <v>129</v>
      </c>
      <c r="AD9" s="20" t="str">
        <f>IF(AB5="○",IF(10000000&lt;AE1,"○",""),"")</f>
        <v/>
      </c>
      <c r="AE9" s="21" t="str">
        <f>IF(AD9="○",MAX(0,AE1-1955000),"")</f>
        <v/>
      </c>
      <c r="AG9" s="170"/>
      <c r="AH9" s="166"/>
      <c r="AI9" s="165"/>
      <c r="AJ9" s="166"/>
      <c r="AK9" s="16" t="s">
        <v>129</v>
      </c>
      <c r="AL9" s="20" t="str">
        <f>IF(AJ5="○",IF(10000000&lt;AM1,"○",""),"")</f>
        <v/>
      </c>
      <c r="AM9" s="21" t="str">
        <f>IF(AL9="○",MAX(0,AM1-1955000),"")</f>
        <v/>
      </c>
      <c r="AO9" s="170"/>
      <c r="AP9" s="166"/>
      <c r="AQ9" s="165"/>
      <c r="AR9" s="166"/>
      <c r="AS9" s="16" t="s">
        <v>129</v>
      </c>
      <c r="AT9" s="20" t="str">
        <f>IF(AR5="○",IF(10000000&lt;AU1,"○",""),"")</f>
        <v/>
      </c>
      <c r="AU9" s="21" t="str">
        <f>IF(AT9="○",MAX(0,AU1-1955000),"")</f>
        <v/>
      </c>
      <c r="AW9" s="170"/>
      <c r="AX9" s="166"/>
      <c r="AY9" s="165"/>
      <c r="AZ9" s="166"/>
      <c r="BA9" s="16" t="s">
        <v>129</v>
      </c>
      <c r="BB9" s="20" t="str">
        <f>IF(AZ5="○",IF(10000000&lt;BC1,"○",""),"")</f>
        <v/>
      </c>
      <c r="BC9" s="21" t="str">
        <f>IF(BB9="○",MAX(0,BC1-1955000),"")</f>
        <v/>
      </c>
      <c r="BE9" s="170"/>
      <c r="BF9" s="166"/>
      <c r="BG9" s="165"/>
      <c r="BH9" s="166"/>
      <c r="BI9" s="16" t="s">
        <v>129</v>
      </c>
      <c r="BJ9" s="20" t="str">
        <f>IF(BH5="○",IF(10000000&lt;BK1,"○",""),"")</f>
        <v/>
      </c>
      <c r="BK9" s="21" t="str">
        <f>IF(BJ9="○",MAX(0,BK1-1955000),"")</f>
        <v/>
      </c>
    </row>
    <row r="10" spans="1:63" ht="18.75" customHeight="1" x14ac:dyDescent="0.2">
      <c r="A10" s="170"/>
      <c r="B10" s="166"/>
      <c r="C10" s="171" t="s">
        <v>130</v>
      </c>
      <c r="D10" s="166" t="str">
        <f>IF(B5="○",IF(AND(10000000&lt;G2,G2&lt;=20000000),"○",""),"")</f>
        <v/>
      </c>
      <c r="E10" s="16" t="s">
        <v>125</v>
      </c>
      <c r="F10" s="20" t="str">
        <f>IF(D10="○",IF(G1&lt;=1300000,"○",""),"")</f>
        <v/>
      </c>
      <c r="G10" s="21" t="str">
        <f>IF(F10="○",MAX(0,G1-500000),"")</f>
        <v/>
      </c>
      <c r="I10" s="170"/>
      <c r="J10" s="166"/>
      <c r="K10" s="165" t="s">
        <v>130</v>
      </c>
      <c r="L10" s="166" t="str">
        <f>IF(J5="○",IF(AND(10000000&lt;O2,O2&lt;=20000000),"○",""),"")</f>
        <v/>
      </c>
      <c r="M10" s="16" t="s">
        <v>125</v>
      </c>
      <c r="N10" s="20" t="str">
        <f>IF(L10="○",IF(O1&lt;=1300000,"○",""),"")</f>
        <v/>
      </c>
      <c r="O10" s="21" t="str">
        <f>IF(N10="○",MAX(0,O1-500000),"")</f>
        <v/>
      </c>
      <c r="Q10" s="170"/>
      <c r="R10" s="166"/>
      <c r="S10" s="165" t="s">
        <v>130</v>
      </c>
      <c r="T10" s="166" t="str">
        <f>IF(R5="○",IF(AND(10000000&lt;W2,W2&lt;=20000000),"○",""),"")</f>
        <v/>
      </c>
      <c r="U10" s="16" t="s">
        <v>125</v>
      </c>
      <c r="V10" s="20" t="str">
        <f>IF(T10="○",IF(W1&lt;=1300000,"○",""),"")</f>
        <v/>
      </c>
      <c r="W10" s="21" t="str">
        <f>IF(V10="○",MAX(0,W1-500000),"")</f>
        <v/>
      </c>
      <c r="Y10" s="170"/>
      <c r="Z10" s="166"/>
      <c r="AA10" s="165" t="s">
        <v>130</v>
      </c>
      <c r="AB10" s="166" t="str">
        <f>IF(Z5="○",IF(AND(10000000&lt;AE2,AE2&lt;=20000000),"○",""),"")</f>
        <v/>
      </c>
      <c r="AC10" s="16" t="s">
        <v>125</v>
      </c>
      <c r="AD10" s="20" t="str">
        <f>IF(AB10="○",IF(AE1&lt;=1300000,"○",""),"")</f>
        <v/>
      </c>
      <c r="AE10" s="21" t="str">
        <f>IF(AD10="○",MAX(0,AE1-500000),"")</f>
        <v/>
      </c>
      <c r="AG10" s="170"/>
      <c r="AH10" s="166"/>
      <c r="AI10" s="165" t="s">
        <v>130</v>
      </c>
      <c r="AJ10" s="166" t="str">
        <f>IF(AH5="○",IF(AND(10000000&lt;AM2,AM2&lt;=20000000),"○",""),"")</f>
        <v/>
      </c>
      <c r="AK10" s="16" t="s">
        <v>125</v>
      </c>
      <c r="AL10" s="20" t="str">
        <f>IF(AJ10="○",IF(AM1&lt;=1300000,"○",""),"")</f>
        <v/>
      </c>
      <c r="AM10" s="21" t="str">
        <f>IF(AL10="○",MAX(0,AM1-500000),"")</f>
        <v/>
      </c>
      <c r="AO10" s="170"/>
      <c r="AP10" s="166"/>
      <c r="AQ10" s="165" t="s">
        <v>130</v>
      </c>
      <c r="AR10" s="166" t="str">
        <f>IF(AP5="○",IF(AND(10000000&lt;AU2,AU2&lt;=20000000),"○",""),"")</f>
        <v/>
      </c>
      <c r="AS10" s="16" t="s">
        <v>125</v>
      </c>
      <c r="AT10" s="20" t="str">
        <f>IF(AR10="○",IF(AU1&lt;=1300000,"○",""),"")</f>
        <v/>
      </c>
      <c r="AU10" s="21" t="str">
        <f>IF(AT10="○",MAX(0,AU1-500000),"")</f>
        <v/>
      </c>
      <c r="AW10" s="170"/>
      <c r="AX10" s="166"/>
      <c r="AY10" s="165" t="s">
        <v>130</v>
      </c>
      <c r="AZ10" s="166" t="str">
        <f>IF(AX5="○",IF(AND(10000000&lt;BC2,BC2&lt;=20000000),"○",""),"")</f>
        <v/>
      </c>
      <c r="BA10" s="16" t="s">
        <v>125</v>
      </c>
      <c r="BB10" s="20" t="str">
        <f>IF(AZ10="○",IF(BC1&lt;=1300000,"○",""),"")</f>
        <v/>
      </c>
      <c r="BC10" s="21" t="str">
        <f>IF(BB10="○",MAX(0,BC1-500000),"")</f>
        <v/>
      </c>
      <c r="BE10" s="170"/>
      <c r="BF10" s="166"/>
      <c r="BG10" s="165" t="s">
        <v>130</v>
      </c>
      <c r="BH10" s="166" t="str">
        <f>IF(BF5="○",IF(AND(10000000&lt;BK2,BK2&lt;=20000000),"○",""),"")</f>
        <v/>
      </c>
      <c r="BI10" s="16" t="s">
        <v>125</v>
      </c>
      <c r="BJ10" s="20" t="str">
        <f>IF(BH10="○",IF(BK1&lt;=1300000,"○",""),"")</f>
        <v/>
      </c>
      <c r="BK10" s="21" t="str">
        <f>IF(BJ10="○",MAX(0,BK1-500000),"")</f>
        <v/>
      </c>
    </row>
    <row r="11" spans="1:63" ht="18.75" customHeight="1" x14ac:dyDescent="0.2">
      <c r="A11" s="170"/>
      <c r="B11" s="166"/>
      <c r="C11" s="172"/>
      <c r="D11" s="166"/>
      <c r="E11" s="16" t="s">
        <v>126</v>
      </c>
      <c r="F11" s="20" t="str">
        <f>IF(D10="○",IF(AND(1300000&lt;G1,G1&lt;=4100000),"○",""),"")</f>
        <v/>
      </c>
      <c r="G11" s="21" t="str">
        <f>IF(F11="○",MAX(0,G1*0.75-175000),"")</f>
        <v/>
      </c>
      <c r="I11" s="170"/>
      <c r="J11" s="166"/>
      <c r="K11" s="165"/>
      <c r="L11" s="166"/>
      <c r="M11" s="16" t="s">
        <v>126</v>
      </c>
      <c r="N11" s="20" t="str">
        <f>IF(L10="○",IF(AND(1300000&lt;O1,O1&lt;=4100000),"○",""),"")</f>
        <v/>
      </c>
      <c r="O11" s="21" t="str">
        <f>IF(N11="○",MAX(0,O1*0.75-175000),"")</f>
        <v/>
      </c>
      <c r="Q11" s="170"/>
      <c r="R11" s="166"/>
      <c r="S11" s="165"/>
      <c r="T11" s="166"/>
      <c r="U11" s="16" t="s">
        <v>126</v>
      </c>
      <c r="V11" s="20" t="str">
        <f>IF(T10="○",IF(AND(1300000&lt;W1,W1&lt;=4100000),"○",""),"")</f>
        <v/>
      </c>
      <c r="W11" s="21" t="str">
        <f>IF(V11="○",MAX(0,W1*0.75-175000),"")</f>
        <v/>
      </c>
      <c r="Y11" s="170"/>
      <c r="Z11" s="166"/>
      <c r="AA11" s="165"/>
      <c r="AB11" s="166"/>
      <c r="AC11" s="16" t="s">
        <v>126</v>
      </c>
      <c r="AD11" s="20" t="str">
        <f>IF(AB10="○",IF(AND(1300000&lt;AE1,AE1&lt;=4100000),"○",""),"")</f>
        <v/>
      </c>
      <c r="AE11" s="21" t="str">
        <f>IF(AD11="○",MAX(0,AE1*0.75-175000),"")</f>
        <v/>
      </c>
      <c r="AG11" s="170"/>
      <c r="AH11" s="166"/>
      <c r="AI11" s="165"/>
      <c r="AJ11" s="166"/>
      <c r="AK11" s="16" t="s">
        <v>126</v>
      </c>
      <c r="AL11" s="20" t="str">
        <f>IF(AJ10="○",IF(AND(1300000&lt;AM1,AM1&lt;=4100000),"○",""),"")</f>
        <v/>
      </c>
      <c r="AM11" s="21" t="str">
        <f>IF(AL11="○",MAX(0,AM1*0.75-175000),"")</f>
        <v/>
      </c>
      <c r="AO11" s="170"/>
      <c r="AP11" s="166"/>
      <c r="AQ11" s="165"/>
      <c r="AR11" s="166"/>
      <c r="AS11" s="16" t="s">
        <v>126</v>
      </c>
      <c r="AT11" s="20" t="str">
        <f>IF(AR10="○",IF(AND(1300000&lt;AU1,AU1&lt;=4100000),"○",""),"")</f>
        <v/>
      </c>
      <c r="AU11" s="21" t="str">
        <f>IF(AT11="○",MAX(0,AU1*0.75-175000),"")</f>
        <v/>
      </c>
      <c r="AW11" s="170"/>
      <c r="AX11" s="166"/>
      <c r="AY11" s="165"/>
      <c r="AZ11" s="166"/>
      <c r="BA11" s="16" t="s">
        <v>126</v>
      </c>
      <c r="BB11" s="20" t="str">
        <f>IF(AZ10="○",IF(AND(1300000&lt;BC1,BC1&lt;=4100000),"○",""),"")</f>
        <v/>
      </c>
      <c r="BC11" s="21" t="str">
        <f>IF(BB11="○",MAX(0,BC1*0.75-175000),"")</f>
        <v/>
      </c>
      <c r="BE11" s="170"/>
      <c r="BF11" s="166"/>
      <c r="BG11" s="165"/>
      <c r="BH11" s="166"/>
      <c r="BI11" s="16" t="s">
        <v>126</v>
      </c>
      <c r="BJ11" s="20" t="str">
        <f>IF(BH10="○",IF(AND(1300000&lt;BK1,BK1&lt;=4100000),"○",""),"")</f>
        <v/>
      </c>
      <c r="BK11" s="21" t="str">
        <f>IF(BJ11="○",MAX(0,BK1*0.75-175000),"")</f>
        <v/>
      </c>
    </row>
    <row r="12" spans="1:63" ht="18.75" customHeight="1" x14ac:dyDescent="0.2">
      <c r="A12" s="170"/>
      <c r="B12" s="166"/>
      <c r="C12" s="172"/>
      <c r="D12" s="166"/>
      <c r="E12" s="16" t="s">
        <v>127</v>
      </c>
      <c r="F12" s="20" t="str">
        <f>IF(D10="○",IF(AND(4100000&lt;G1,G1&lt;=7700000),"○",""),"")</f>
        <v/>
      </c>
      <c r="G12" s="21" t="str">
        <f>IF(F12="○",MAX(0,G1*0.85-585000),"")</f>
        <v/>
      </c>
      <c r="I12" s="170"/>
      <c r="J12" s="166"/>
      <c r="K12" s="165"/>
      <c r="L12" s="166"/>
      <c r="M12" s="16" t="s">
        <v>127</v>
      </c>
      <c r="N12" s="20" t="str">
        <f>IF(L10="○",IF(AND(4100000&lt;O1,O1&lt;=7700000),"○",""),"")</f>
        <v/>
      </c>
      <c r="O12" s="21" t="str">
        <f>IF(N12="○",MAX(0,O1*0.85-585000),"")</f>
        <v/>
      </c>
      <c r="Q12" s="170"/>
      <c r="R12" s="166"/>
      <c r="S12" s="165"/>
      <c r="T12" s="166"/>
      <c r="U12" s="16" t="s">
        <v>127</v>
      </c>
      <c r="V12" s="20" t="str">
        <f>IF(T10="○",IF(AND(4100000&lt;W1,W1&lt;=7700000),"○",""),"")</f>
        <v/>
      </c>
      <c r="W12" s="21" t="str">
        <f>IF(V12="○",MAX(0,W1*0.85-585000),"")</f>
        <v/>
      </c>
      <c r="Y12" s="170"/>
      <c r="Z12" s="166"/>
      <c r="AA12" s="165"/>
      <c r="AB12" s="166"/>
      <c r="AC12" s="16" t="s">
        <v>127</v>
      </c>
      <c r="AD12" s="20" t="str">
        <f>IF(AB10="○",IF(AND(4100000&lt;AE1,AE1&lt;=7700000),"○",""),"")</f>
        <v/>
      </c>
      <c r="AE12" s="21" t="str">
        <f>IF(AD12="○",MAX(0,AE1*0.85-585000),"")</f>
        <v/>
      </c>
      <c r="AG12" s="170"/>
      <c r="AH12" s="166"/>
      <c r="AI12" s="165"/>
      <c r="AJ12" s="166"/>
      <c r="AK12" s="16" t="s">
        <v>127</v>
      </c>
      <c r="AL12" s="20" t="str">
        <f>IF(AJ10="○",IF(AND(4100000&lt;AM1,AM1&lt;=7700000),"○",""),"")</f>
        <v/>
      </c>
      <c r="AM12" s="21" t="str">
        <f>IF(AL12="○",MAX(0,AM1*0.85-585000),"")</f>
        <v/>
      </c>
      <c r="AO12" s="170"/>
      <c r="AP12" s="166"/>
      <c r="AQ12" s="165"/>
      <c r="AR12" s="166"/>
      <c r="AS12" s="16" t="s">
        <v>127</v>
      </c>
      <c r="AT12" s="20" t="str">
        <f>IF(AR10="○",IF(AND(4100000&lt;AU1,AU1&lt;=7700000),"○",""),"")</f>
        <v/>
      </c>
      <c r="AU12" s="21" t="str">
        <f>IF(AT12="○",MAX(0,AU1*0.85-585000),"")</f>
        <v/>
      </c>
      <c r="AW12" s="170"/>
      <c r="AX12" s="166"/>
      <c r="AY12" s="165"/>
      <c r="AZ12" s="166"/>
      <c r="BA12" s="16" t="s">
        <v>127</v>
      </c>
      <c r="BB12" s="20" t="str">
        <f>IF(AZ10="○",IF(AND(4100000&lt;BC1,BC1&lt;=7700000),"○",""),"")</f>
        <v/>
      </c>
      <c r="BC12" s="21" t="str">
        <f>IF(BB12="○",MAX(0,BC1*0.85-585000),"")</f>
        <v/>
      </c>
      <c r="BE12" s="170"/>
      <c r="BF12" s="166"/>
      <c r="BG12" s="165"/>
      <c r="BH12" s="166"/>
      <c r="BI12" s="16" t="s">
        <v>127</v>
      </c>
      <c r="BJ12" s="20" t="str">
        <f>IF(BH10="○",IF(AND(4100000&lt;BK1,BK1&lt;=7700000),"○",""),"")</f>
        <v/>
      </c>
      <c r="BK12" s="21" t="str">
        <f>IF(BJ12="○",MAX(0,BK1*0.85-585000),"")</f>
        <v/>
      </c>
    </row>
    <row r="13" spans="1:63" ht="18.75" customHeight="1" x14ac:dyDescent="0.2">
      <c r="A13" s="170"/>
      <c r="B13" s="166"/>
      <c r="C13" s="172"/>
      <c r="D13" s="166"/>
      <c r="E13" s="16" t="s">
        <v>128</v>
      </c>
      <c r="F13" s="20" t="str">
        <f>IF(D10="○",IF(AND(7700000&lt;G1,G1&lt;=10000000),"○",""),"")</f>
        <v/>
      </c>
      <c r="G13" s="21" t="str">
        <f>IF(F13="○",MAX(0,G1*0.95-1355000),"")</f>
        <v/>
      </c>
      <c r="I13" s="170"/>
      <c r="J13" s="166"/>
      <c r="K13" s="165"/>
      <c r="L13" s="166"/>
      <c r="M13" s="16" t="s">
        <v>128</v>
      </c>
      <c r="N13" s="20" t="str">
        <f>IF(L10="○",IF(AND(7700000&lt;O1,O1&lt;=10000000),"○",""),"")</f>
        <v/>
      </c>
      <c r="O13" s="21" t="str">
        <f>IF(N13="○",MAX(0,O1*0.95-1355000),"")</f>
        <v/>
      </c>
      <c r="Q13" s="170"/>
      <c r="R13" s="166"/>
      <c r="S13" s="165"/>
      <c r="T13" s="166"/>
      <c r="U13" s="16" t="s">
        <v>128</v>
      </c>
      <c r="V13" s="20" t="str">
        <f>IF(T10="○",IF(AND(7700000&lt;W1,W1&lt;=10000000),"○",""),"")</f>
        <v/>
      </c>
      <c r="W13" s="21" t="str">
        <f>IF(V13="○",MAX(0,W1*0.95-1355000),"")</f>
        <v/>
      </c>
      <c r="Y13" s="170"/>
      <c r="Z13" s="166"/>
      <c r="AA13" s="165"/>
      <c r="AB13" s="166"/>
      <c r="AC13" s="16" t="s">
        <v>128</v>
      </c>
      <c r="AD13" s="20" t="str">
        <f>IF(AB10="○",IF(AND(7700000&lt;AE1,AE1&lt;=10000000),"○",""),"")</f>
        <v/>
      </c>
      <c r="AE13" s="21" t="str">
        <f>IF(AD13="○",MAX(0,AE1*0.95-1355000),"")</f>
        <v/>
      </c>
      <c r="AG13" s="170"/>
      <c r="AH13" s="166"/>
      <c r="AI13" s="165"/>
      <c r="AJ13" s="166"/>
      <c r="AK13" s="16" t="s">
        <v>128</v>
      </c>
      <c r="AL13" s="20" t="str">
        <f>IF(AJ10="○",IF(AND(7700000&lt;AM1,AM1&lt;=10000000),"○",""),"")</f>
        <v/>
      </c>
      <c r="AM13" s="21" t="str">
        <f>IF(AL13="○",MAX(0,AM1*0.95-1355000),"")</f>
        <v/>
      </c>
      <c r="AO13" s="170"/>
      <c r="AP13" s="166"/>
      <c r="AQ13" s="165"/>
      <c r="AR13" s="166"/>
      <c r="AS13" s="16" t="s">
        <v>128</v>
      </c>
      <c r="AT13" s="20" t="str">
        <f>IF(AR10="○",IF(AND(7700000&lt;AU1,AU1&lt;=10000000),"○",""),"")</f>
        <v/>
      </c>
      <c r="AU13" s="21" t="str">
        <f>IF(AT13="○",MAX(0,AU1*0.95-1355000),"")</f>
        <v/>
      </c>
      <c r="AW13" s="170"/>
      <c r="AX13" s="166"/>
      <c r="AY13" s="165"/>
      <c r="AZ13" s="166"/>
      <c r="BA13" s="16" t="s">
        <v>128</v>
      </c>
      <c r="BB13" s="20" t="str">
        <f>IF(AZ10="○",IF(AND(7700000&lt;BC1,BC1&lt;=10000000),"○",""),"")</f>
        <v/>
      </c>
      <c r="BC13" s="21" t="str">
        <f>IF(BB13="○",MAX(0,BC1*0.95-1355000),"")</f>
        <v/>
      </c>
      <c r="BE13" s="170"/>
      <c r="BF13" s="166"/>
      <c r="BG13" s="165"/>
      <c r="BH13" s="166"/>
      <c r="BI13" s="16" t="s">
        <v>128</v>
      </c>
      <c r="BJ13" s="20" t="str">
        <f>IF(BH10="○",IF(AND(7700000&lt;BK1,BK1&lt;=10000000),"○",""),"")</f>
        <v/>
      </c>
      <c r="BK13" s="21" t="str">
        <f>IF(BJ13="○",MAX(0,BK1*0.95-1355000),"")</f>
        <v/>
      </c>
    </row>
    <row r="14" spans="1:63" ht="18.75" customHeight="1" x14ac:dyDescent="0.2">
      <c r="A14" s="170"/>
      <c r="B14" s="166"/>
      <c r="C14" s="173"/>
      <c r="D14" s="166"/>
      <c r="E14" s="16" t="s">
        <v>129</v>
      </c>
      <c r="F14" s="20" t="str">
        <f>IF(D10="○",IF(10000000&lt;G1,"○",""),"")</f>
        <v/>
      </c>
      <c r="G14" s="21" t="str">
        <f>IF(F14="○",MAX(0,G1-1855000),"")</f>
        <v/>
      </c>
      <c r="I14" s="170"/>
      <c r="J14" s="166"/>
      <c r="K14" s="165"/>
      <c r="L14" s="166"/>
      <c r="M14" s="16" t="s">
        <v>129</v>
      </c>
      <c r="N14" s="20" t="str">
        <f>IF(L10="○",IF(10000000&lt;O1,"○",""),"")</f>
        <v/>
      </c>
      <c r="O14" s="21" t="str">
        <f>IF(N14="○",MAX(0,O1-1855000),"")</f>
        <v/>
      </c>
      <c r="Q14" s="170"/>
      <c r="R14" s="166"/>
      <c r="S14" s="165"/>
      <c r="T14" s="166"/>
      <c r="U14" s="16" t="s">
        <v>129</v>
      </c>
      <c r="V14" s="20" t="str">
        <f>IF(T10="○",IF(10000000&lt;W1,"○",""),"")</f>
        <v/>
      </c>
      <c r="W14" s="21" t="str">
        <f>IF(V14="○",MAX(0,W1-1855000),"")</f>
        <v/>
      </c>
      <c r="Y14" s="170"/>
      <c r="Z14" s="166"/>
      <c r="AA14" s="165"/>
      <c r="AB14" s="166"/>
      <c r="AC14" s="16" t="s">
        <v>129</v>
      </c>
      <c r="AD14" s="20" t="str">
        <f>IF(AB10="○",IF(10000000&lt;AE1,"○",""),"")</f>
        <v/>
      </c>
      <c r="AE14" s="21" t="str">
        <f>IF(AD14="○",MAX(0,AE1-1855000),"")</f>
        <v/>
      </c>
      <c r="AG14" s="170"/>
      <c r="AH14" s="166"/>
      <c r="AI14" s="165"/>
      <c r="AJ14" s="166"/>
      <c r="AK14" s="16" t="s">
        <v>129</v>
      </c>
      <c r="AL14" s="20" t="str">
        <f>IF(AJ10="○",IF(10000000&lt;AM1,"○",""),"")</f>
        <v/>
      </c>
      <c r="AM14" s="21" t="str">
        <f>IF(AL14="○",MAX(0,AM1-1855000),"")</f>
        <v/>
      </c>
      <c r="AO14" s="170"/>
      <c r="AP14" s="166"/>
      <c r="AQ14" s="165"/>
      <c r="AR14" s="166"/>
      <c r="AS14" s="16" t="s">
        <v>129</v>
      </c>
      <c r="AT14" s="20" t="str">
        <f>IF(AR10="○",IF(10000000&lt;AU1,"○",""),"")</f>
        <v/>
      </c>
      <c r="AU14" s="21" t="str">
        <f>IF(AT14="○",MAX(0,AU1-1855000),"")</f>
        <v/>
      </c>
      <c r="AW14" s="170"/>
      <c r="AX14" s="166"/>
      <c r="AY14" s="165"/>
      <c r="AZ14" s="166"/>
      <c r="BA14" s="16" t="s">
        <v>129</v>
      </c>
      <c r="BB14" s="20" t="str">
        <f>IF(AZ10="○",IF(10000000&lt;BC1,"○",""),"")</f>
        <v/>
      </c>
      <c r="BC14" s="21" t="str">
        <f>IF(BB14="○",MAX(0,BC1-1855000),"")</f>
        <v/>
      </c>
      <c r="BE14" s="170"/>
      <c r="BF14" s="166"/>
      <c r="BG14" s="165"/>
      <c r="BH14" s="166"/>
      <c r="BI14" s="16" t="s">
        <v>129</v>
      </c>
      <c r="BJ14" s="20" t="str">
        <f>IF(BH10="○",IF(10000000&lt;BK1,"○",""),"")</f>
        <v/>
      </c>
      <c r="BK14" s="21" t="str">
        <f>IF(BJ14="○",MAX(0,BK1-1855000),"")</f>
        <v/>
      </c>
    </row>
    <row r="15" spans="1:63" ht="18.75" customHeight="1" x14ac:dyDescent="0.2">
      <c r="A15" s="170"/>
      <c r="B15" s="166"/>
      <c r="C15" s="171" t="s">
        <v>131</v>
      </c>
      <c r="D15" s="166" t="str">
        <f>IF(B5="○",IF(20000000&lt;G2,"○",""),"")</f>
        <v/>
      </c>
      <c r="E15" s="16" t="s">
        <v>125</v>
      </c>
      <c r="F15" s="20" t="str">
        <f>IF(D15="○",IF(G1&lt;=1300000,"○",""),"")</f>
        <v/>
      </c>
      <c r="G15" s="21" t="str">
        <f>IF(F15="○",MAX(0,G1-400000),"")</f>
        <v/>
      </c>
      <c r="I15" s="170"/>
      <c r="J15" s="166"/>
      <c r="K15" s="165" t="s">
        <v>131</v>
      </c>
      <c r="L15" s="166" t="str">
        <f>IF(J5="○",IF(20000000&lt;O2,"○",""),"")</f>
        <v/>
      </c>
      <c r="M15" s="16" t="s">
        <v>125</v>
      </c>
      <c r="N15" s="20" t="str">
        <f>IF(L15="○",IF(O1&lt;=1300000,"○",""),"")</f>
        <v/>
      </c>
      <c r="O15" s="21" t="str">
        <f>IF(N15="○",MAX(0,O1-400000),"")</f>
        <v/>
      </c>
      <c r="Q15" s="170"/>
      <c r="R15" s="166"/>
      <c r="S15" s="165" t="s">
        <v>131</v>
      </c>
      <c r="T15" s="166" t="str">
        <f>IF(R5="○",IF(20000000&lt;W2,"○",""),"")</f>
        <v/>
      </c>
      <c r="U15" s="16" t="s">
        <v>125</v>
      </c>
      <c r="V15" s="20" t="str">
        <f>IF(T15="○",IF(W1&lt;=1300000,"○",""),"")</f>
        <v/>
      </c>
      <c r="W15" s="21" t="str">
        <f>IF(V15="○",MAX(0,W1-400000),"")</f>
        <v/>
      </c>
      <c r="Y15" s="170"/>
      <c r="Z15" s="166"/>
      <c r="AA15" s="165" t="s">
        <v>131</v>
      </c>
      <c r="AB15" s="166" t="str">
        <f>IF(Z5="○",IF(20000000&lt;AE2,"○",""),"")</f>
        <v/>
      </c>
      <c r="AC15" s="16" t="s">
        <v>125</v>
      </c>
      <c r="AD15" s="20" t="str">
        <f>IF(AB15="○",IF(AE1&lt;=1300000,"○",""),"")</f>
        <v/>
      </c>
      <c r="AE15" s="21" t="str">
        <f>IF(AD15="○",MAX(0,AE1-400000),"")</f>
        <v/>
      </c>
      <c r="AG15" s="170"/>
      <c r="AH15" s="166"/>
      <c r="AI15" s="165" t="s">
        <v>131</v>
      </c>
      <c r="AJ15" s="166" t="str">
        <f>IF(AH5="○",IF(20000000&lt;AM2,"○",""),"")</f>
        <v/>
      </c>
      <c r="AK15" s="16" t="s">
        <v>125</v>
      </c>
      <c r="AL15" s="20" t="str">
        <f>IF(AJ15="○",IF(AM1&lt;=1300000,"○",""),"")</f>
        <v/>
      </c>
      <c r="AM15" s="21" t="str">
        <f>IF(AL15="○",MAX(0,AM1-400000),"")</f>
        <v/>
      </c>
      <c r="AO15" s="170"/>
      <c r="AP15" s="166"/>
      <c r="AQ15" s="165" t="s">
        <v>131</v>
      </c>
      <c r="AR15" s="166" t="str">
        <f>IF(AP5="○",IF(20000000&lt;AU2,"○",""),"")</f>
        <v/>
      </c>
      <c r="AS15" s="16" t="s">
        <v>125</v>
      </c>
      <c r="AT15" s="20" t="str">
        <f>IF(AR15="○",IF(AU1&lt;=1300000,"○",""),"")</f>
        <v/>
      </c>
      <c r="AU15" s="21" t="str">
        <f>IF(AT15="○",MAX(0,AU1-400000),"")</f>
        <v/>
      </c>
      <c r="AW15" s="170"/>
      <c r="AX15" s="166"/>
      <c r="AY15" s="165" t="s">
        <v>131</v>
      </c>
      <c r="AZ15" s="166" t="str">
        <f>IF(AX5="○",IF(20000000&lt;BC2,"○",""),"")</f>
        <v/>
      </c>
      <c r="BA15" s="16" t="s">
        <v>125</v>
      </c>
      <c r="BB15" s="20" t="str">
        <f>IF(AZ15="○",IF(BC1&lt;=1300000,"○",""),"")</f>
        <v/>
      </c>
      <c r="BC15" s="21" t="str">
        <f>IF(BB15="○",MAX(0,BC1-400000),"")</f>
        <v/>
      </c>
      <c r="BE15" s="170"/>
      <c r="BF15" s="166"/>
      <c r="BG15" s="165" t="s">
        <v>131</v>
      </c>
      <c r="BH15" s="166" t="str">
        <f>IF(BF5="○",IF(20000000&lt;BK2,"○",""),"")</f>
        <v/>
      </c>
      <c r="BI15" s="16" t="s">
        <v>125</v>
      </c>
      <c r="BJ15" s="20" t="str">
        <f>IF(BH15="○",IF(BK1&lt;=1300000,"○",""),"")</f>
        <v/>
      </c>
      <c r="BK15" s="21" t="str">
        <f>IF(BJ15="○",MAX(0,BK1-400000),"")</f>
        <v/>
      </c>
    </row>
    <row r="16" spans="1:63" ht="18.75" customHeight="1" x14ac:dyDescent="0.2">
      <c r="A16" s="170"/>
      <c r="B16" s="166"/>
      <c r="C16" s="172"/>
      <c r="D16" s="166"/>
      <c r="E16" s="16" t="s">
        <v>126</v>
      </c>
      <c r="F16" s="20" t="str">
        <f>IF(D15="○",IF(AND(1300000&lt;G1,G1&lt;=4100000),"○",""),"")</f>
        <v/>
      </c>
      <c r="G16" s="21" t="str">
        <f>IF(F16="○",MAX(0,G1*0.75-75000),"")</f>
        <v/>
      </c>
      <c r="I16" s="170"/>
      <c r="J16" s="166"/>
      <c r="K16" s="165"/>
      <c r="L16" s="166"/>
      <c r="M16" s="16" t="s">
        <v>126</v>
      </c>
      <c r="N16" s="20" t="str">
        <f>IF(L15="○",IF(AND(1300000&lt;O1,O1&lt;=4100000),"○",""),"")</f>
        <v/>
      </c>
      <c r="O16" s="21" t="str">
        <f>IF(N16="○",MAX(0,O1*0.75-75000),"")</f>
        <v/>
      </c>
      <c r="Q16" s="170"/>
      <c r="R16" s="166"/>
      <c r="S16" s="165"/>
      <c r="T16" s="166"/>
      <c r="U16" s="16" t="s">
        <v>126</v>
      </c>
      <c r="V16" s="20" t="str">
        <f>IF(T15="○",IF(AND(1300000&lt;W1,W1&lt;=4100000),"○",""),"")</f>
        <v/>
      </c>
      <c r="W16" s="21" t="str">
        <f>IF(V16="○",MAX(0,W1*0.75-75000),"")</f>
        <v/>
      </c>
      <c r="Y16" s="170"/>
      <c r="Z16" s="166"/>
      <c r="AA16" s="165"/>
      <c r="AB16" s="166"/>
      <c r="AC16" s="16" t="s">
        <v>126</v>
      </c>
      <c r="AD16" s="20" t="str">
        <f>IF(AB15="○",IF(AND(1300000&lt;AE1,AE1&lt;=4100000),"○",""),"")</f>
        <v/>
      </c>
      <c r="AE16" s="21" t="str">
        <f>IF(AD16="○",MAX(0,AE1*0.75-75000),"")</f>
        <v/>
      </c>
      <c r="AG16" s="170"/>
      <c r="AH16" s="166"/>
      <c r="AI16" s="165"/>
      <c r="AJ16" s="166"/>
      <c r="AK16" s="16" t="s">
        <v>126</v>
      </c>
      <c r="AL16" s="20" t="str">
        <f>IF(AJ15="○",IF(AND(1300000&lt;AM1,AM1&lt;=4100000),"○",""),"")</f>
        <v/>
      </c>
      <c r="AM16" s="21" t="str">
        <f>IF(AL16="○",MAX(0,AM1*0.75-75000),"")</f>
        <v/>
      </c>
      <c r="AO16" s="170"/>
      <c r="AP16" s="166"/>
      <c r="AQ16" s="165"/>
      <c r="AR16" s="166"/>
      <c r="AS16" s="16" t="s">
        <v>126</v>
      </c>
      <c r="AT16" s="20" t="str">
        <f>IF(AR15="○",IF(AND(1300000&lt;AU1,AU1&lt;=4100000),"○",""),"")</f>
        <v/>
      </c>
      <c r="AU16" s="21" t="str">
        <f>IF(AT16="○",MAX(0,AU1*0.75-75000),"")</f>
        <v/>
      </c>
      <c r="AW16" s="170"/>
      <c r="AX16" s="166"/>
      <c r="AY16" s="165"/>
      <c r="AZ16" s="166"/>
      <c r="BA16" s="16" t="s">
        <v>126</v>
      </c>
      <c r="BB16" s="20" t="str">
        <f>IF(AZ15="○",IF(AND(1300000&lt;BC1,BC1&lt;=4100000),"○",""),"")</f>
        <v/>
      </c>
      <c r="BC16" s="21" t="str">
        <f>IF(BB16="○",MAX(0,BC1*0.75-75000),"")</f>
        <v/>
      </c>
      <c r="BE16" s="170"/>
      <c r="BF16" s="166"/>
      <c r="BG16" s="165"/>
      <c r="BH16" s="166"/>
      <c r="BI16" s="16" t="s">
        <v>126</v>
      </c>
      <c r="BJ16" s="20" t="str">
        <f>IF(BH15="○",IF(AND(1300000&lt;BK1,BK1&lt;=4100000),"○",""),"")</f>
        <v/>
      </c>
      <c r="BK16" s="21" t="str">
        <f>IF(BJ16="○",MAX(0,BK1*0.75-75000),"")</f>
        <v/>
      </c>
    </row>
    <row r="17" spans="1:63" ht="18.75" customHeight="1" x14ac:dyDescent="0.2">
      <c r="A17" s="170"/>
      <c r="B17" s="166"/>
      <c r="C17" s="172"/>
      <c r="D17" s="166"/>
      <c r="E17" s="16" t="s">
        <v>127</v>
      </c>
      <c r="F17" s="20" t="str">
        <f>IF(D15="○",IF(AND(4100000&lt;G1,G1&lt;=7700000),"○",""),"")</f>
        <v/>
      </c>
      <c r="G17" s="21" t="str">
        <f>IF(F17="○",MAX(0,G1*0.85-485000),"")</f>
        <v/>
      </c>
      <c r="I17" s="170"/>
      <c r="J17" s="166"/>
      <c r="K17" s="165"/>
      <c r="L17" s="166"/>
      <c r="M17" s="16" t="s">
        <v>127</v>
      </c>
      <c r="N17" s="20" t="str">
        <f>IF(L15="○",IF(AND(4100000&lt;O1,O1&lt;=7700000),"○",""),"")</f>
        <v/>
      </c>
      <c r="O17" s="21" t="str">
        <f>IF(N17="○",MAX(0,O1*0.85-485000),"")</f>
        <v/>
      </c>
      <c r="Q17" s="170"/>
      <c r="R17" s="166"/>
      <c r="S17" s="165"/>
      <c r="T17" s="166"/>
      <c r="U17" s="16" t="s">
        <v>127</v>
      </c>
      <c r="V17" s="20" t="str">
        <f>IF(T15="○",IF(AND(4100000&lt;W1,W1&lt;=7700000),"○",""),"")</f>
        <v/>
      </c>
      <c r="W17" s="21" t="str">
        <f>IF(V17="○",MAX(0,W1*0.85-485000),"")</f>
        <v/>
      </c>
      <c r="Y17" s="170"/>
      <c r="Z17" s="166"/>
      <c r="AA17" s="165"/>
      <c r="AB17" s="166"/>
      <c r="AC17" s="16" t="s">
        <v>127</v>
      </c>
      <c r="AD17" s="20" t="str">
        <f>IF(AB15="○",IF(AND(4100000&lt;AE1,AE1&lt;=7700000),"○",""),"")</f>
        <v/>
      </c>
      <c r="AE17" s="21" t="str">
        <f>IF(AD17="○",MAX(0,AE1*0.85-485000),"")</f>
        <v/>
      </c>
      <c r="AG17" s="170"/>
      <c r="AH17" s="166"/>
      <c r="AI17" s="165"/>
      <c r="AJ17" s="166"/>
      <c r="AK17" s="16" t="s">
        <v>127</v>
      </c>
      <c r="AL17" s="20" t="str">
        <f>IF(AJ15="○",IF(AND(4100000&lt;AM1,AM1&lt;=7700000),"○",""),"")</f>
        <v/>
      </c>
      <c r="AM17" s="21" t="str">
        <f>IF(AL17="○",MAX(0,AM1*0.85-485000),"")</f>
        <v/>
      </c>
      <c r="AO17" s="170"/>
      <c r="AP17" s="166"/>
      <c r="AQ17" s="165"/>
      <c r="AR17" s="166"/>
      <c r="AS17" s="16" t="s">
        <v>127</v>
      </c>
      <c r="AT17" s="20" t="str">
        <f>IF(AR15="○",IF(AND(4100000&lt;AU1,AU1&lt;=7700000),"○",""),"")</f>
        <v/>
      </c>
      <c r="AU17" s="21" t="str">
        <f>IF(AT17="○",MAX(0,AU1*0.85-485000),"")</f>
        <v/>
      </c>
      <c r="AW17" s="170"/>
      <c r="AX17" s="166"/>
      <c r="AY17" s="165"/>
      <c r="AZ17" s="166"/>
      <c r="BA17" s="16" t="s">
        <v>127</v>
      </c>
      <c r="BB17" s="20" t="str">
        <f>IF(AZ15="○",IF(AND(4100000&lt;BC1,BC1&lt;=7700000),"○",""),"")</f>
        <v/>
      </c>
      <c r="BC17" s="21" t="str">
        <f>IF(BB17="○",MAX(0,BC1*0.85-485000),"")</f>
        <v/>
      </c>
      <c r="BE17" s="170"/>
      <c r="BF17" s="166"/>
      <c r="BG17" s="165"/>
      <c r="BH17" s="166"/>
      <c r="BI17" s="16" t="s">
        <v>127</v>
      </c>
      <c r="BJ17" s="20" t="str">
        <f>IF(BH15="○",IF(AND(4100000&lt;BK1,BK1&lt;=7700000),"○",""),"")</f>
        <v/>
      </c>
      <c r="BK17" s="21" t="str">
        <f>IF(BJ17="○",MAX(0,BK1*0.85-485000),"")</f>
        <v/>
      </c>
    </row>
    <row r="18" spans="1:63" ht="18.75" customHeight="1" x14ac:dyDescent="0.2">
      <c r="A18" s="170"/>
      <c r="B18" s="166"/>
      <c r="C18" s="172"/>
      <c r="D18" s="166"/>
      <c r="E18" s="16" t="s">
        <v>128</v>
      </c>
      <c r="F18" s="20" t="str">
        <f>IF(D15="○",IF(AND(7700000&lt;G1,G1&lt;=10000000),"○",""),"")</f>
        <v/>
      </c>
      <c r="G18" s="21" t="str">
        <f>IF(F18="○",MAX(0,G1*0.95-1255000),"")</f>
        <v/>
      </c>
      <c r="I18" s="170"/>
      <c r="J18" s="166"/>
      <c r="K18" s="165"/>
      <c r="L18" s="166"/>
      <c r="M18" s="16" t="s">
        <v>128</v>
      </c>
      <c r="N18" s="20" t="str">
        <f>IF(L15="○",IF(AND(7700000&lt;O1,O1&lt;=10000000),"○",""),"")</f>
        <v/>
      </c>
      <c r="O18" s="21" t="str">
        <f>IF(N18="○",MAX(0,O1*0.95-1255000),"")</f>
        <v/>
      </c>
      <c r="Q18" s="170"/>
      <c r="R18" s="166"/>
      <c r="S18" s="165"/>
      <c r="T18" s="166"/>
      <c r="U18" s="16" t="s">
        <v>128</v>
      </c>
      <c r="V18" s="20" t="str">
        <f>IF(T15="○",IF(AND(7700000&lt;W1,W1&lt;=10000000),"○",""),"")</f>
        <v/>
      </c>
      <c r="W18" s="21" t="str">
        <f>IF(V18="○",MAX(0,W1*0.95-1255000),"")</f>
        <v/>
      </c>
      <c r="Y18" s="170"/>
      <c r="Z18" s="166"/>
      <c r="AA18" s="165"/>
      <c r="AB18" s="166"/>
      <c r="AC18" s="16" t="s">
        <v>128</v>
      </c>
      <c r="AD18" s="20" t="str">
        <f>IF(AB15="○",IF(AND(7700000&lt;AE1,AE1&lt;=10000000),"○",""),"")</f>
        <v/>
      </c>
      <c r="AE18" s="21" t="str">
        <f>IF(AD18="○",MAX(0,AE1*0.95-1255000),"")</f>
        <v/>
      </c>
      <c r="AG18" s="170"/>
      <c r="AH18" s="166"/>
      <c r="AI18" s="165"/>
      <c r="AJ18" s="166"/>
      <c r="AK18" s="16" t="s">
        <v>128</v>
      </c>
      <c r="AL18" s="20" t="str">
        <f>IF(AJ15="○",IF(AND(7700000&lt;AM1,AM1&lt;=10000000),"○",""),"")</f>
        <v/>
      </c>
      <c r="AM18" s="21" t="str">
        <f>IF(AL18="○",MAX(0,AM1*0.95-1255000),"")</f>
        <v/>
      </c>
      <c r="AO18" s="170"/>
      <c r="AP18" s="166"/>
      <c r="AQ18" s="165"/>
      <c r="AR18" s="166"/>
      <c r="AS18" s="16" t="s">
        <v>128</v>
      </c>
      <c r="AT18" s="20" t="str">
        <f>IF(AR15="○",IF(AND(7700000&lt;AU1,AU1&lt;=10000000),"○",""),"")</f>
        <v/>
      </c>
      <c r="AU18" s="21" t="str">
        <f>IF(AT18="○",MAX(0,AU1*0.95-1255000),"")</f>
        <v/>
      </c>
      <c r="AW18" s="170"/>
      <c r="AX18" s="166"/>
      <c r="AY18" s="165"/>
      <c r="AZ18" s="166"/>
      <c r="BA18" s="16" t="s">
        <v>128</v>
      </c>
      <c r="BB18" s="20" t="str">
        <f>IF(AZ15="○",IF(AND(7700000&lt;BC1,BC1&lt;=10000000),"○",""),"")</f>
        <v/>
      </c>
      <c r="BC18" s="21" t="str">
        <f>IF(BB18="○",MAX(0,BC1*0.95-1255000),"")</f>
        <v/>
      </c>
      <c r="BE18" s="170"/>
      <c r="BF18" s="166"/>
      <c r="BG18" s="165"/>
      <c r="BH18" s="166"/>
      <c r="BI18" s="16" t="s">
        <v>128</v>
      </c>
      <c r="BJ18" s="20" t="str">
        <f>IF(BH15="○",IF(AND(7700000&lt;BK1,BK1&lt;=10000000),"○",""),"")</f>
        <v/>
      </c>
      <c r="BK18" s="21" t="str">
        <f>IF(BJ18="○",MAX(0,BK1*0.95-1255000),"")</f>
        <v/>
      </c>
    </row>
    <row r="19" spans="1:63" ht="18.75" customHeight="1" x14ac:dyDescent="0.2">
      <c r="A19" s="170"/>
      <c r="B19" s="166"/>
      <c r="C19" s="173"/>
      <c r="D19" s="166"/>
      <c r="E19" s="16" t="s">
        <v>129</v>
      </c>
      <c r="F19" s="20" t="str">
        <f>IF(D15="○",IF(10000000&lt;G1,"○",""),"")</f>
        <v/>
      </c>
      <c r="G19" s="21" t="str">
        <f>IF(F19="○",MAX(0,G1-1755000),"")</f>
        <v/>
      </c>
      <c r="I19" s="170"/>
      <c r="J19" s="166"/>
      <c r="K19" s="165"/>
      <c r="L19" s="166"/>
      <c r="M19" s="16" t="s">
        <v>129</v>
      </c>
      <c r="N19" s="20" t="str">
        <f>IF(L15="○",IF(10000000&lt;O1,"○",""),"")</f>
        <v/>
      </c>
      <c r="O19" s="21" t="str">
        <f>IF(N19="○",MAX(0,O1-1755000),"")</f>
        <v/>
      </c>
      <c r="Q19" s="170"/>
      <c r="R19" s="166"/>
      <c r="S19" s="165"/>
      <c r="T19" s="166"/>
      <c r="U19" s="16" t="s">
        <v>129</v>
      </c>
      <c r="V19" s="20" t="str">
        <f>IF(T15="○",IF(10000000&lt;W1,"○",""),"")</f>
        <v/>
      </c>
      <c r="W19" s="21" t="str">
        <f>IF(V19="○",MAX(0,W1-1755000),"")</f>
        <v/>
      </c>
      <c r="Y19" s="170"/>
      <c r="Z19" s="166"/>
      <c r="AA19" s="165"/>
      <c r="AB19" s="166"/>
      <c r="AC19" s="16" t="s">
        <v>129</v>
      </c>
      <c r="AD19" s="20" t="str">
        <f>IF(AB15="○",IF(10000000&lt;AE1,"○",""),"")</f>
        <v/>
      </c>
      <c r="AE19" s="21" t="str">
        <f>IF(AD19="○",MAX(0,AE1-1755000),"")</f>
        <v/>
      </c>
      <c r="AG19" s="170"/>
      <c r="AH19" s="166"/>
      <c r="AI19" s="165"/>
      <c r="AJ19" s="166"/>
      <c r="AK19" s="16" t="s">
        <v>129</v>
      </c>
      <c r="AL19" s="20" t="str">
        <f>IF(AJ15="○",IF(10000000&lt;AM1,"○",""),"")</f>
        <v/>
      </c>
      <c r="AM19" s="21" t="str">
        <f>IF(AL19="○",MAX(0,AM1-1755000),"")</f>
        <v/>
      </c>
      <c r="AO19" s="170"/>
      <c r="AP19" s="166"/>
      <c r="AQ19" s="165"/>
      <c r="AR19" s="166"/>
      <c r="AS19" s="16" t="s">
        <v>129</v>
      </c>
      <c r="AT19" s="20" t="str">
        <f>IF(AR15="○",IF(10000000&lt;AU1,"○",""),"")</f>
        <v/>
      </c>
      <c r="AU19" s="21" t="str">
        <f>IF(AT19="○",MAX(0,AU1-1755000),"")</f>
        <v/>
      </c>
      <c r="AW19" s="170"/>
      <c r="AX19" s="166"/>
      <c r="AY19" s="165"/>
      <c r="AZ19" s="166"/>
      <c r="BA19" s="16" t="s">
        <v>129</v>
      </c>
      <c r="BB19" s="20" t="str">
        <f>IF(AZ15="○",IF(10000000&lt;BC1,"○",""),"")</f>
        <v/>
      </c>
      <c r="BC19" s="21" t="str">
        <f>IF(BB19="○",MAX(0,BC1-1755000),"")</f>
        <v/>
      </c>
      <c r="BE19" s="170"/>
      <c r="BF19" s="166"/>
      <c r="BG19" s="165"/>
      <c r="BH19" s="166"/>
      <c r="BI19" s="16" t="s">
        <v>129</v>
      </c>
      <c r="BJ19" s="20" t="str">
        <f>IF(BH15="○",IF(10000000&lt;BK1,"○",""),"")</f>
        <v/>
      </c>
      <c r="BK19" s="21" t="str">
        <f>IF(BJ19="○",MAX(0,BK1-1755000),"")</f>
        <v/>
      </c>
    </row>
    <row r="20" spans="1:63" ht="18.75" customHeight="1" x14ac:dyDescent="0.2">
      <c r="A20" s="170" t="s">
        <v>132</v>
      </c>
      <c r="B20" s="166" t="str">
        <f>IF(B1="","",IF(65&lt;=B1,"○",""))</f>
        <v/>
      </c>
      <c r="C20" s="171" t="s">
        <v>124</v>
      </c>
      <c r="D20" s="166" t="str">
        <f>IF(B20="○",IF(G2&lt;=10000000,"○",""),"")</f>
        <v/>
      </c>
      <c r="E20" s="16" t="s">
        <v>133</v>
      </c>
      <c r="F20" s="20" t="str">
        <f>IF(D20="○",IF(G1&lt;=3300000,"○",""),"")</f>
        <v/>
      </c>
      <c r="G20" s="21" t="str">
        <f>IF(F20="○",MAX(0,G1-1100000),"")</f>
        <v/>
      </c>
      <c r="I20" s="170" t="s">
        <v>132</v>
      </c>
      <c r="J20" s="166" t="str">
        <f>IF(J1="","",IF(65&lt;=J1,"○",""))</f>
        <v/>
      </c>
      <c r="K20" s="165" t="s">
        <v>124</v>
      </c>
      <c r="L20" s="166" t="str">
        <f>IF(J20="○",IF(O2&lt;=10000000,"○",""),"")</f>
        <v/>
      </c>
      <c r="M20" s="16" t="s">
        <v>133</v>
      </c>
      <c r="N20" s="20" t="str">
        <f>IF(L20="○",IF(O1&lt;=3300000,"○",""),"")</f>
        <v/>
      </c>
      <c r="O20" s="21" t="str">
        <f>IF(N20="○",MAX(0,O1-1100000),"")</f>
        <v/>
      </c>
      <c r="Q20" s="170" t="s">
        <v>132</v>
      </c>
      <c r="R20" s="166" t="str">
        <f>IF(R1="","",IF(65&lt;=R1,"○",""))</f>
        <v/>
      </c>
      <c r="S20" s="165" t="s">
        <v>124</v>
      </c>
      <c r="T20" s="166" t="str">
        <f>IF(R20="○",IF(W2&lt;=10000000,"○",""),"")</f>
        <v/>
      </c>
      <c r="U20" s="16" t="s">
        <v>133</v>
      </c>
      <c r="V20" s="20" t="str">
        <f>IF(T20="○",IF(W1&lt;=3300000,"○",""),"")</f>
        <v/>
      </c>
      <c r="W20" s="21" t="str">
        <f>IF(V20="○",MAX(0,W1-1100000),"")</f>
        <v/>
      </c>
      <c r="Y20" s="170" t="s">
        <v>132</v>
      </c>
      <c r="Z20" s="166" t="str">
        <f>IF(Z1="","",IF(65&lt;=Z1,"○",""))</f>
        <v/>
      </c>
      <c r="AA20" s="165" t="s">
        <v>124</v>
      </c>
      <c r="AB20" s="166" t="str">
        <f>IF(Z20="○",IF(AE2&lt;=10000000,"○",""),"")</f>
        <v/>
      </c>
      <c r="AC20" s="16" t="s">
        <v>133</v>
      </c>
      <c r="AD20" s="20" t="str">
        <f>IF(AB20="○",IF(AE1&lt;=3300000,"○",""),"")</f>
        <v/>
      </c>
      <c r="AE20" s="21" t="str">
        <f>IF(AD20="○",MAX(0,AE1-1100000),"")</f>
        <v/>
      </c>
      <c r="AG20" s="170" t="s">
        <v>132</v>
      </c>
      <c r="AH20" s="166" t="str">
        <f>IF(AH1="","",IF(65&lt;=AH1,"○",""))</f>
        <v/>
      </c>
      <c r="AI20" s="165" t="s">
        <v>124</v>
      </c>
      <c r="AJ20" s="166" t="str">
        <f>IF(AH20="○",IF(AM2&lt;=10000000,"○",""),"")</f>
        <v/>
      </c>
      <c r="AK20" s="16" t="s">
        <v>133</v>
      </c>
      <c r="AL20" s="20" t="str">
        <f>IF(AJ20="○",IF(AM1&lt;=3300000,"○",""),"")</f>
        <v/>
      </c>
      <c r="AM20" s="21" t="str">
        <f>IF(AL20="○",MAX(0,AM1-1100000),"")</f>
        <v/>
      </c>
      <c r="AO20" s="170" t="s">
        <v>132</v>
      </c>
      <c r="AP20" s="166" t="str">
        <f>IF(AP1="","",IF(65&lt;=AP1,"○",""))</f>
        <v/>
      </c>
      <c r="AQ20" s="165" t="s">
        <v>124</v>
      </c>
      <c r="AR20" s="166" t="str">
        <f>IF(AP20="○",IF(AU2&lt;=10000000,"○",""),"")</f>
        <v/>
      </c>
      <c r="AS20" s="16" t="s">
        <v>133</v>
      </c>
      <c r="AT20" s="20" t="str">
        <f>IF(AR20="○",IF(AU1&lt;=3300000,"○",""),"")</f>
        <v/>
      </c>
      <c r="AU20" s="21" t="str">
        <f>IF(AT20="○",MAX(0,AU1-1100000),"")</f>
        <v/>
      </c>
      <c r="AW20" s="170" t="s">
        <v>132</v>
      </c>
      <c r="AX20" s="166" t="str">
        <f>IF(AX1="","",IF(65&lt;=AX1,"○",""))</f>
        <v/>
      </c>
      <c r="AY20" s="165" t="s">
        <v>124</v>
      </c>
      <c r="AZ20" s="166" t="str">
        <f>IF(AX20="○",IF(BC2&lt;=10000000,"○",""),"")</f>
        <v/>
      </c>
      <c r="BA20" s="16" t="s">
        <v>133</v>
      </c>
      <c r="BB20" s="20" t="str">
        <f>IF(AZ20="○",IF(BC1&lt;=3300000,"○",""),"")</f>
        <v/>
      </c>
      <c r="BC20" s="21" t="str">
        <f>IF(BB20="○",MAX(0,BC1-1100000),"")</f>
        <v/>
      </c>
      <c r="BE20" s="170" t="s">
        <v>132</v>
      </c>
      <c r="BF20" s="166" t="str">
        <f>IF(BF1="","",IF(65&lt;=BF1,"○",""))</f>
        <v/>
      </c>
      <c r="BG20" s="165" t="s">
        <v>124</v>
      </c>
      <c r="BH20" s="166" t="str">
        <f>IF(BF20="○",IF(BK2&lt;=10000000,"○",""),"")</f>
        <v/>
      </c>
      <c r="BI20" s="16" t="s">
        <v>133</v>
      </c>
      <c r="BJ20" s="20" t="str">
        <f>IF(BH20="○",IF(BK1&lt;=3300000,"○",""),"")</f>
        <v/>
      </c>
      <c r="BK20" s="21" t="str">
        <f>IF(BJ20="○",MAX(0,BK1-1100000),"")</f>
        <v/>
      </c>
    </row>
    <row r="21" spans="1:63" ht="18.75" customHeight="1" x14ac:dyDescent="0.2">
      <c r="A21" s="170"/>
      <c r="B21" s="166"/>
      <c r="C21" s="172"/>
      <c r="D21" s="166"/>
      <c r="E21" s="16" t="s">
        <v>134</v>
      </c>
      <c r="F21" s="20" t="str">
        <f>IF(D20="○",IF(AND(3300000&lt;G1,G1&lt;=4100000),"○",""),"")</f>
        <v/>
      </c>
      <c r="G21" s="21" t="str">
        <f>IF(F21="○",MAX(G1*0.75-275000),"")</f>
        <v/>
      </c>
      <c r="I21" s="170"/>
      <c r="J21" s="166"/>
      <c r="K21" s="165"/>
      <c r="L21" s="166"/>
      <c r="M21" s="16" t="s">
        <v>134</v>
      </c>
      <c r="N21" s="20" t="str">
        <f>IF(L20="○",IF(AND(3300000&lt;O1,O1&lt;=4100000),"○",""),"")</f>
        <v/>
      </c>
      <c r="O21" s="21" t="str">
        <f>IF(N21="○",MAX(O1*0.75-275000),"")</f>
        <v/>
      </c>
      <c r="Q21" s="170"/>
      <c r="R21" s="166"/>
      <c r="S21" s="165"/>
      <c r="T21" s="166"/>
      <c r="U21" s="16" t="s">
        <v>134</v>
      </c>
      <c r="V21" s="20" t="str">
        <f>IF(T20="○",IF(AND(3300000&lt;W1,W1&lt;=4100000),"○",""),"")</f>
        <v/>
      </c>
      <c r="W21" s="21" t="str">
        <f>IF(V21="○",MAX(W1*0.75-275000),"")</f>
        <v/>
      </c>
      <c r="Y21" s="170"/>
      <c r="Z21" s="166"/>
      <c r="AA21" s="165"/>
      <c r="AB21" s="166"/>
      <c r="AC21" s="16" t="s">
        <v>134</v>
      </c>
      <c r="AD21" s="20" t="str">
        <f>IF(AB20="○",IF(AND(3300000&lt;AE1,AE1&lt;=4100000),"○",""),"")</f>
        <v/>
      </c>
      <c r="AE21" s="21" t="str">
        <f>IF(AD21="○",MAX(AE1*0.75-275000),"")</f>
        <v/>
      </c>
      <c r="AG21" s="170"/>
      <c r="AH21" s="166"/>
      <c r="AI21" s="165"/>
      <c r="AJ21" s="166"/>
      <c r="AK21" s="16" t="s">
        <v>134</v>
      </c>
      <c r="AL21" s="20" t="str">
        <f>IF(AJ20="○",IF(AND(3300000&lt;AM1,AM1&lt;=4100000),"○",""),"")</f>
        <v/>
      </c>
      <c r="AM21" s="21" t="str">
        <f>IF(AL21="○",MAX(AM1*0.75-275000),"")</f>
        <v/>
      </c>
      <c r="AO21" s="170"/>
      <c r="AP21" s="166"/>
      <c r="AQ21" s="165"/>
      <c r="AR21" s="166"/>
      <c r="AS21" s="16" t="s">
        <v>134</v>
      </c>
      <c r="AT21" s="20" t="str">
        <f>IF(AR20="○",IF(AND(3300000&lt;AU1,AU1&lt;=4100000),"○",""),"")</f>
        <v/>
      </c>
      <c r="AU21" s="21" t="str">
        <f>IF(AT21="○",MAX(AU1*0.75-275000),"")</f>
        <v/>
      </c>
      <c r="AW21" s="170"/>
      <c r="AX21" s="166"/>
      <c r="AY21" s="165"/>
      <c r="AZ21" s="166"/>
      <c r="BA21" s="16" t="s">
        <v>134</v>
      </c>
      <c r="BB21" s="20" t="str">
        <f>IF(AZ20="○",IF(AND(3300000&lt;BC1,BC1&lt;=4100000),"○",""),"")</f>
        <v/>
      </c>
      <c r="BC21" s="21" t="str">
        <f>IF(BB21="○",MAX(BC1*0.75-275000),"")</f>
        <v/>
      </c>
      <c r="BE21" s="170"/>
      <c r="BF21" s="166"/>
      <c r="BG21" s="165"/>
      <c r="BH21" s="166"/>
      <c r="BI21" s="16" t="s">
        <v>134</v>
      </c>
      <c r="BJ21" s="20" t="str">
        <f>IF(BH20="○",IF(AND(3300000&lt;BK1,BK1&lt;=4100000),"○",""),"")</f>
        <v/>
      </c>
      <c r="BK21" s="21" t="str">
        <f>IF(BJ21="○",MAX(BK1*0.75-275000),"")</f>
        <v/>
      </c>
    </row>
    <row r="22" spans="1:63" ht="18.75" customHeight="1" x14ac:dyDescent="0.2">
      <c r="A22" s="170"/>
      <c r="B22" s="166"/>
      <c r="C22" s="172"/>
      <c r="D22" s="166"/>
      <c r="E22" s="16" t="s">
        <v>127</v>
      </c>
      <c r="F22" s="20" t="str">
        <f>IF(D20="○",IF(AND(4100000&lt;G1,G1&lt;=7700000),"○",""),"")</f>
        <v/>
      </c>
      <c r="G22" s="21" t="str">
        <f>IF(F22="○",MAX(G1*0.85-685000),"")</f>
        <v/>
      </c>
      <c r="I22" s="170"/>
      <c r="J22" s="166"/>
      <c r="K22" s="165"/>
      <c r="L22" s="166"/>
      <c r="M22" s="16" t="s">
        <v>127</v>
      </c>
      <c r="N22" s="20" t="str">
        <f>IF(L20="○",IF(AND(4100000&lt;O1,O1&lt;=7700000),"○",""),"")</f>
        <v/>
      </c>
      <c r="O22" s="21" t="str">
        <f>IF(N22="○",MAX(O1*0.85-685000),"")</f>
        <v/>
      </c>
      <c r="Q22" s="170"/>
      <c r="R22" s="166"/>
      <c r="S22" s="165"/>
      <c r="T22" s="166"/>
      <c r="U22" s="16" t="s">
        <v>127</v>
      </c>
      <c r="V22" s="20" t="str">
        <f>IF(T20="○",IF(AND(4100000&lt;W1,W1&lt;=7700000),"○",""),"")</f>
        <v/>
      </c>
      <c r="W22" s="21" t="str">
        <f>IF(V22="○",MAX(W1*0.85-685000),"")</f>
        <v/>
      </c>
      <c r="Y22" s="170"/>
      <c r="Z22" s="166"/>
      <c r="AA22" s="165"/>
      <c r="AB22" s="166"/>
      <c r="AC22" s="16" t="s">
        <v>127</v>
      </c>
      <c r="AD22" s="20" t="str">
        <f>IF(AB20="○",IF(AND(4100000&lt;AE1,AE1&lt;=7700000),"○",""),"")</f>
        <v/>
      </c>
      <c r="AE22" s="21" t="str">
        <f>IF(AD22="○",MAX(AE1*0.85-685000),"")</f>
        <v/>
      </c>
      <c r="AG22" s="170"/>
      <c r="AH22" s="166"/>
      <c r="AI22" s="165"/>
      <c r="AJ22" s="166"/>
      <c r="AK22" s="16" t="s">
        <v>127</v>
      </c>
      <c r="AL22" s="20" t="str">
        <f>IF(AJ20="○",IF(AND(4100000&lt;AM1,AM1&lt;=7700000),"○",""),"")</f>
        <v/>
      </c>
      <c r="AM22" s="21" t="str">
        <f>IF(AL22="○",MAX(AM1*0.85-685000),"")</f>
        <v/>
      </c>
      <c r="AO22" s="170"/>
      <c r="AP22" s="166"/>
      <c r="AQ22" s="165"/>
      <c r="AR22" s="166"/>
      <c r="AS22" s="16" t="s">
        <v>127</v>
      </c>
      <c r="AT22" s="20" t="str">
        <f>IF(AR20="○",IF(AND(4100000&lt;AU1,AU1&lt;=7700000),"○",""),"")</f>
        <v/>
      </c>
      <c r="AU22" s="21" t="str">
        <f>IF(AT22="○",MAX(AU1*0.85-685000),"")</f>
        <v/>
      </c>
      <c r="AW22" s="170"/>
      <c r="AX22" s="166"/>
      <c r="AY22" s="165"/>
      <c r="AZ22" s="166"/>
      <c r="BA22" s="16" t="s">
        <v>127</v>
      </c>
      <c r="BB22" s="20" t="str">
        <f>IF(AZ20="○",IF(AND(4100000&lt;BC1,BC1&lt;=7700000),"○",""),"")</f>
        <v/>
      </c>
      <c r="BC22" s="21" t="str">
        <f>IF(BB22="○",MAX(BC1*0.85-685000),"")</f>
        <v/>
      </c>
      <c r="BE22" s="170"/>
      <c r="BF22" s="166"/>
      <c r="BG22" s="165"/>
      <c r="BH22" s="166"/>
      <c r="BI22" s="16" t="s">
        <v>127</v>
      </c>
      <c r="BJ22" s="20" t="str">
        <f>IF(BH20="○",IF(AND(4100000&lt;BK1,BK1&lt;=7700000),"○",""),"")</f>
        <v/>
      </c>
      <c r="BK22" s="21" t="str">
        <f>IF(BJ22="○",MAX(BK1*0.85-685000),"")</f>
        <v/>
      </c>
    </row>
    <row r="23" spans="1:63" ht="18.75" customHeight="1" x14ac:dyDescent="0.2">
      <c r="A23" s="170"/>
      <c r="B23" s="166"/>
      <c r="C23" s="172"/>
      <c r="D23" s="166"/>
      <c r="E23" s="16" t="s">
        <v>128</v>
      </c>
      <c r="F23" s="20" t="str">
        <f>IF(D20="○",IF(AND(7700000&lt;G1,G1&lt;=10000000),"○",""),"")</f>
        <v/>
      </c>
      <c r="G23" s="21" t="str">
        <f>IF(F23="○",MAX(0,G1*0.95-1455000),"")</f>
        <v/>
      </c>
      <c r="I23" s="170"/>
      <c r="J23" s="166"/>
      <c r="K23" s="165"/>
      <c r="L23" s="166"/>
      <c r="M23" s="16" t="s">
        <v>128</v>
      </c>
      <c r="N23" s="20" t="str">
        <f>IF(L20="○",IF(AND(7700000&lt;O1,O1&lt;=10000000),"○",""),"")</f>
        <v/>
      </c>
      <c r="O23" s="21" t="str">
        <f>IF(N23="○",MAX(0,O1*0.95-1455000),"")</f>
        <v/>
      </c>
      <c r="Q23" s="170"/>
      <c r="R23" s="166"/>
      <c r="S23" s="165"/>
      <c r="T23" s="166"/>
      <c r="U23" s="16" t="s">
        <v>128</v>
      </c>
      <c r="V23" s="20" t="str">
        <f>IF(T20="○",IF(AND(7700000&lt;W1,W1&lt;=10000000),"○",""),"")</f>
        <v/>
      </c>
      <c r="W23" s="21" t="str">
        <f>IF(V23="○",MAX(0,W1*0.95-1455000),"")</f>
        <v/>
      </c>
      <c r="Y23" s="170"/>
      <c r="Z23" s="166"/>
      <c r="AA23" s="165"/>
      <c r="AB23" s="166"/>
      <c r="AC23" s="16" t="s">
        <v>128</v>
      </c>
      <c r="AD23" s="20" t="str">
        <f>IF(AB20="○",IF(AND(7700000&lt;AE1,AE1&lt;=10000000),"○",""),"")</f>
        <v/>
      </c>
      <c r="AE23" s="21" t="str">
        <f>IF(AD23="○",MAX(0,AE1*0.95-1455000),"")</f>
        <v/>
      </c>
      <c r="AG23" s="170"/>
      <c r="AH23" s="166"/>
      <c r="AI23" s="165"/>
      <c r="AJ23" s="166"/>
      <c r="AK23" s="16" t="s">
        <v>128</v>
      </c>
      <c r="AL23" s="20" t="str">
        <f>IF(AJ20="○",IF(AND(7700000&lt;AM1,AM1&lt;=10000000),"○",""),"")</f>
        <v/>
      </c>
      <c r="AM23" s="21" t="str">
        <f>IF(AL23="○",MAX(0,AM1*0.95-1455000),"")</f>
        <v/>
      </c>
      <c r="AO23" s="170"/>
      <c r="AP23" s="166"/>
      <c r="AQ23" s="165"/>
      <c r="AR23" s="166"/>
      <c r="AS23" s="16" t="s">
        <v>128</v>
      </c>
      <c r="AT23" s="20" t="str">
        <f>IF(AR20="○",IF(AND(7700000&lt;AU1,AU1&lt;=10000000),"○",""),"")</f>
        <v/>
      </c>
      <c r="AU23" s="21" t="str">
        <f>IF(AT23="○",MAX(0,AU1*0.95-1455000),"")</f>
        <v/>
      </c>
      <c r="AW23" s="170"/>
      <c r="AX23" s="166"/>
      <c r="AY23" s="165"/>
      <c r="AZ23" s="166"/>
      <c r="BA23" s="16" t="s">
        <v>128</v>
      </c>
      <c r="BB23" s="20" t="str">
        <f>IF(AZ20="○",IF(AND(7700000&lt;BC1,BC1&lt;=10000000),"○",""),"")</f>
        <v/>
      </c>
      <c r="BC23" s="21" t="str">
        <f>IF(BB23="○",MAX(0,BC1*0.95-1455000),"")</f>
        <v/>
      </c>
      <c r="BE23" s="170"/>
      <c r="BF23" s="166"/>
      <c r="BG23" s="165"/>
      <c r="BH23" s="166"/>
      <c r="BI23" s="16" t="s">
        <v>128</v>
      </c>
      <c r="BJ23" s="20" t="str">
        <f>IF(BH20="○",IF(AND(7700000&lt;BK1,BK1&lt;=10000000),"○",""),"")</f>
        <v/>
      </c>
      <c r="BK23" s="21" t="str">
        <f>IF(BJ23="○",MAX(0,BK1*0.95-1455000),"")</f>
        <v/>
      </c>
    </row>
    <row r="24" spans="1:63" ht="18.75" customHeight="1" x14ac:dyDescent="0.2">
      <c r="A24" s="170"/>
      <c r="B24" s="166"/>
      <c r="C24" s="173"/>
      <c r="D24" s="166"/>
      <c r="E24" s="16" t="s">
        <v>129</v>
      </c>
      <c r="F24" s="20" t="str">
        <f>IF(D20="○",IF(10000000&lt;G1,"○",""),"")</f>
        <v/>
      </c>
      <c r="G24" s="21" t="str">
        <f>IF(F24="○",MAX(0,G1-1955000),"")</f>
        <v/>
      </c>
      <c r="I24" s="170"/>
      <c r="J24" s="166"/>
      <c r="K24" s="165"/>
      <c r="L24" s="166"/>
      <c r="M24" s="16" t="s">
        <v>129</v>
      </c>
      <c r="N24" s="20" t="str">
        <f>IF(L20="○",IF(10000000&lt;O1,"○",""),"")</f>
        <v/>
      </c>
      <c r="O24" s="21" t="str">
        <f>IF(N24="○",MAX(0,O1-1955000),"")</f>
        <v/>
      </c>
      <c r="Q24" s="170"/>
      <c r="R24" s="166"/>
      <c r="S24" s="165"/>
      <c r="T24" s="166"/>
      <c r="U24" s="16" t="s">
        <v>129</v>
      </c>
      <c r="V24" s="20" t="str">
        <f>IF(T20="○",IF(10000000&lt;W1,"○",""),"")</f>
        <v/>
      </c>
      <c r="W24" s="21" t="str">
        <f>IF(V24="○",MAX(0,W1-1955000),"")</f>
        <v/>
      </c>
      <c r="Y24" s="170"/>
      <c r="Z24" s="166"/>
      <c r="AA24" s="165"/>
      <c r="AB24" s="166"/>
      <c r="AC24" s="16" t="s">
        <v>129</v>
      </c>
      <c r="AD24" s="20" t="str">
        <f>IF(AB20="○",IF(10000000&lt;AE1,"○",""),"")</f>
        <v/>
      </c>
      <c r="AE24" s="21" t="str">
        <f>IF(AD24="○",MAX(0,AE1-1955000),"")</f>
        <v/>
      </c>
      <c r="AG24" s="170"/>
      <c r="AH24" s="166"/>
      <c r="AI24" s="165"/>
      <c r="AJ24" s="166"/>
      <c r="AK24" s="16" t="s">
        <v>129</v>
      </c>
      <c r="AL24" s="20" t="str">
        <f>IF(AJ20="○",IF(10000000&lt;AM1,"○",""),"")</f>
        <v/>
      </c>
      <c r="AM24" s="21" t="str">
        <f>IF(AL24="○",MAX(0,AM1-1955000),"")</f>
        <v/>
      </c>
      <c r="AO24" s="170"/>
      <c r="AP24" s="166"/>
      <c r="AQ24" s="165"/>
      <c r="AR24" s="166"/>
      <c r="AS24" s="16" t="s">
        <v>129</v>
      </c>
      <c r="AT24" s="20" t="str">
        <f>IF(AR20="○",IF(10000000&lt;AU1,"○",""),"")</f>
        <v/>
      </c>
      <c r="AU24" s="21" t="str">
        <f>IF(AT24="○",MAX(0,AU1-1955000),"")</f>
        <v/>
      </c>
      <c r="AW24" s="170"/>
      <c r="AX24" s="166"/>
      <c r="AY24" s="165"/>
      <c r="AZ24" s="166"/>
      <c r="BA24" s="16" t="s">
        <v>129</v>
      </c>
      <c r="BB24" s="20" t="str">
        <f>IF(AZ20="○",IF(10000000&lt;BC1,"○",""),"")</f>
        <v/>
      </c>
      <c r="BC24" s="21" t="str">
        <f>IF(BB24="○",MAX(0,BC1-1955000),"")</f>
        <v/>
      </c>
      <c r="BE24" s="170"/>
      <c r="BF24" s="166"/>
      <c r="BG24" s="165"/>
      <c r="BH24" s="166"/>
      <c r="BI24" s="16" t="s">
        <v>129</v>
      </c>
      <c r="BJ24" s="20" t="str">
        <f>IF(BH20="○",IF(10000000&lt;BK1,"○",""),"")</f>
        <v/>
      </c>
      <c r="BK24" s="21" t="str">
        <f>IF(BJ24="○",MAX(0,BK1-1955000),"")</f>
        <v/>
      </c>
    </row>
    <row r="25" spans="1:63" ht="18.75" customHeight="1" x14ac:dyDescent="0.2">
      <c r="A25" s="170"/>
      <c r="B25" s="166"/>
      <c r="C25" s="171" t="s">
        <v>130</v>
      </c>
      <c r="D25" s="166" t="str">
        <f>IF(B20="○",IF(AND(10000000&lt;G2,G2&lt;=20000000),"○",""),"")</f>
        <v/>
      </c>
      <c r="E25" s="16" t="s">
        <v>133</v>
      </c>
      <c r="F25" s="20" t="str">
        <f>IF(D25="○",IF(G1&lt;=3300000,"○",""),"")</f>
        <v/>
      </c>
      <c r="G25" s="21" t="str">
        <f>IF(F25="○",MAX(0,G1-1000000),"")</f>
        <v/>
      </c>
      <c r="I25" s="170"/>
      <c r="J25" s="166"/>
      <c r="K25" s="165" t="s">
        <v>130</v>
      </c>
      <c r="L25" s="166" t="str">
        <f>IF(J20="○",IF(AND(10000000&lt;O2,O2&lt;=20000000),"○",""),"")</f>
        <v/>
      </c>
      <c r="M25" s="16" t="s">
        <v>133</v>
      </c>
      <c r="N25" s="20" t="str">
        <f>IF(L25="○",IF(O1&lt;=3300000,"○",""),"")</f>
        <v/>
      </c>
      <c r="O25" s="21" t="str">
        <f>IF(N25="○",MAX(0,O1-1000000),"")</f>
        <v/>
      </c>
      <c r="Q25" s="170"/>
      <c r="R25" s="166"/>
      <c r="S25" s="165" t="s">
        <v>130</v>
      </c>
      <c r="T25" s="166" t="str">
        <f>IF(R20="○",IF(AND(10000000&lt;W2,W2&lt;=20000000),"○",""),"")</f>
        <v/>
      </c>
      <c r="U25" s="16" t="s">
        <v>133</v>
      </c>
      <c r="V25" s="20" t="str">
        <f>IF(T25="○",IF(W1&lt;=3300000,"○",""),"")</f>
        <v/>
      </c>
      <c r="W25" s="21" t="str">
        <f>IF(V25="○",MAX(0,W1-1000000),"")</f>
        <v/>
      </c>
      <c r="Y25" s="170"/>
      <c r="Z25" s="166"/>
      <c r="AA25" s="165" t="s">
        <v>130</v>
      </c>
      <c r="AB25" s="166" t="str">
        <f>IF(Z20="○",IF(AND(10000000&lt;AE2,AE2&lt;=20000000),"○",""),"")</f>
        <v/>
      </c>
      <c r="AC25" s="16" t="s">
        <v>133</v>
      </c>
      <c r="AD25" s="20" t="str">
        <f>IF(AB25="○",IF(AE1&lt;=3300000,"○",""),"")</f>
        <v/>
      </c>
      <c r="AE25" s="21" t="str">
        <f>IF(AD25="○",MAX(0,AE1-1000000),"")</f>
        <v/>
      </c>
      <c r="AG25" s="170"/>
      <c r="AH25" s="166"/>
      <c r="AI25" s="165" t="s">
        <v>130</v>
      </c>
      <c r="AJ25" s="166" t="str">
        <f>IF(AH20="○",IF(AND(10000000&lt;AM2,AM2&lt;=20000000),"○",""),"")</f>
        <v/>
      </c>
      <c r="AK25" s="16" t="s">
        <v>133</v>
      </c>
      <c r="AL25" s="20" t="str">
        <f>IF(AJ25="○",IF(AM1&lt;=3300000,"○",""),"")</f>
        <v/>
      </c>
      <c r="AM25" s="21" t="str">
        <f>IF(AL25="○",MAX(0,AM1-1000000),"")</f>
        <v/>
      </c>
      <c r="AO25" s="170"/>
      <c r="AP25" s="166"/>
      <c r="AQ25" s="165" t="s">
        <v>130</v>
      </c>
      <c r="AR25" s="166" t="str">
        <f>IF(AP20="○",IF(AND(10000000&lt;AU2,AU2&lt;=20000000),"○",""),"")</f>
        <v/>
      </c>
      <c r="AS25" s="16" t="s">
        <v>133</v>
      </c>
      <c r="AT25" s="20" t="str">
        <f>IF(AR25="○",IF(AU1&lt;=3300000,"○",""),"")</f>
        <v/>
      </c>
      <c r="AU25" s="21" t="str">
        <f>IF(AT25="○",MAX(0,AU1-1000000),"")</f>
        <v/>
      </c>
      <c r="AW25" s="170"/>
      <c r="AX25" s="166"/>
      <c r="AY25" s="165" t="s">
        <v>130</v>
      </c>
      <c r="AZ25" s="166" t="str">
        <f>IF(AX20="○",IF(AND(10000000&lt;BC2,BC2&lt;=20000000),"○",""),"")</f>
        <v/>
      </c>
      <c r="BA25" s="16" t="s">
        <v>133</v>
      </c>
      <c r="BB25" s="20" t="str">
        <f>IF(AZ25="○",IF(BC1&lt;=3300000,"○",""),"")</f>
        <v/>
      </c>
      <c r="BC25" s="21" t="str">
        <f>IF(BB25="○",MAX(0,BC1-1000000),"")</f>
        <v/>
      </c>
      <c r="BE25" s="170"/>
      <c r="BF25" s="166"/>
      <c r="BG25" s="165" t="s">
        <v>130</v>
      </c>
      <c r="BH25" s="166" t="str">
        <f>IF(BF20="○",IF(AND(10000000&lt;BK2,BK2&lt;=20000000),"○",""),"")</f>
        <v/>
      </c>
      <c r="BI25" s="16" t="s">
        <v>133</v>
      </c>
      <c r="BJ25" s="20" t="str">
        <f>IF(BH25="○",IF(BK1&lt;=3300000,"○",""),"")</f>
        <v/>
      </c>
      <c r="BK25" s="21" t="str">
        <f>IF(BJ25="○",MAX(0,BK1-1000000),"")</f>
        <v/>
      </c>
    </row>
    <row r="26" spans="1:63" ht="18.75" customHeight="1" x14ac:dyDescent="0.2">
      <c r="A26" s="170"/>
      <c r="B26" s="166"/>
      <c r="C26" s="172"/>
      <c r="D26" s="166"/>
      <c r="E26" s="16" t="s">
        <v>134</v>
      </c>
      <c r="F26" s="20" t="str">
        <f>IF(D25="○",IF(AND(3300000&lt;G1,G1&lt;=4100000),"○",""),"")</f>
        <v/>
      </c>
      <c r="G26" s="21" t="str">
        <f>IF(F26="○",MAX(G1*0.75-175000),"")</f>
        <v/>
      </c>
      <c r="I26" s="170"/>
      <c r="J26" s="166"/>
      <c r="K26" s="165"/>
      <c r="L26" s="166"/>
      <c r="M26" s="16" t="s">
        <v>134</v>
      </c>
      <c r="N26" s="20" t="str">
        <f>IF(L25="○",IF(AND(3300000&lt;O1,O1&lt;=4100000),"○",""),"")</f>
        <v/>
      </c>
      <c r="O26" s="21" t="str">
        <f>IF(N26="○",MAX(O1*0.75-175000),"")</f>
        <v/>
      </c>
      <c r="Q26" s="170"/>
      <c r="R26" s="166"/>
      <c r="S26" s="165"/>
      <c r="T26" s="166"/>
      <c r="U26" s="16" t="s">
        <v>134</v>
      </c>
      <c r="V26" s="20" t="str">
        <f>IF(T25="○",IF(AND(3300000&lt;W1,W1&lt;=4100000),"○",""),"")</f>
        <v/>
      </c>
      <c r="W26" s="21" t="str">
        <f>IF(V26="○",MAX(W1*0.75-175000),"")</f>
        <v/>
      </c>
      <c r="Y26" s="170"/>
      <c r="Z26" s="166"/>
      <c r="AA26" s="165"/>
      <c r="AB26" s="166"/>
      <c r="AC26" s="16" t="s">
        <v>134</v>
      </c>
      <c r="AD26" s="20" t="str">
        <f>IF(AB25="○",IF(AND(3300000&lt;AE1,AE1&lt;=4100000),"○",""),"")</f>
        <v/>
      </c>
      <c r="AE26" s="21" t="str">
        <f>IF(AD26="○",MAX(AE1*0.75-175000),"")</f>
        <v/>
      </c>
      <c r="AG26" s="170"/>
      <c r="AH26" s="166"/>
      <c r="AI26" s="165"/>
      <c r="AJ26" s="166"/>
      <c r="AK26" s="16" t="s">
        <v>134</v>
      </c>
      <c r="AL26" s="20" t="str">
        <f>IF(AJ25="○",IF(AND(3300000&lt;AM1,AM1&lt;=4100000),"○",""),"")</f>
        <v/>
      </c>
      <c r="AM26" s="21" t="str">
        <f>IF(AL26="○",MAX(AM1*0.75-175000),"")</f>
        <v/>
      </c>
      <c r="AO26" s="170"/>
      <c r="AP26" s="166"/>
      <c r="AQ26" s="165"/>
      <c r="AR26" s="166"/>
      <c r="AS26" s="16" t="s">
        <v>134</v>
      </c>
      <c r="AT26" s="20" t="str">
        <f>IF(AR25="○",IF(AND(3300000&lt;AU1,AU1&lt;=4100000),"○",""),"")</f>
        <v/>
      </c>
      <c r="AU26" s="21" t="str">
        <f>IF(AT26="○",MAX(AU1*0.75-175000),"")</f>
        <v/>
      </c>
      <c r="AW26" s="170"/>
      <c r="AX26" s="166"/>
      <c r="AY26" s="165"/>
      <c r="AZ26" s="166"/>
      <c r="BA26" s="16" t="s">
        <v>134</v>
      </c>
      <c r="BB26" s="20" t="str">
        <f>IF(AZ25="○",IF(AND(3300000&lt;BC1,BC1&lt;=4100000),"○",""),"")</f>
        <v/>
      </c>
      <c r="BC26" s="21" t="str">
        <f>IF(BB26="○",MAX(BC1*0.75-175000),"")</f>
        <v/>
      </c>
      <c r="BE26" s="170"/>
      <c r="BF26" s="166"/>
      <c r="BG26" s="165"/>
      <c r="BH26" s="166"/>
      <c r="BI26" s="16" t="s">
        <v>134</v>
      </c>
      <c r="BJ26" s="20" t="str">
        <f>IF(BH25="○",IF(AND(3300000&lt;BK1,BK1&lt;=4100000),"○",""),"")</f>
        <v/>
      </c>
      <c r="BK26" s="21" t="str">
        <f>IF(BJ26="○",MAX(BK1*0.75-175000),"")</f>
        <v/>
      </c>
    </row>
    <row r="27" spans="1:63" ht="18.75" customHeight="1" x14ac:dyDescent="0.2">
      <c r="A27" s="170"/>
      <c r="B27" s="166"/>
      <c r="C27" s="172"/>
      <c r="D27" s="166"/>
      <c r="E27" s="16" t="s">
        <v>127</v>
      </c>
      <c r="F27" s="20" t="str">
        <f>IF(D25="○",IF(AND(4100000&lt;G1,G1&lt;=7700000),"○",""),"")</f>
        <v/>
      </c>
      <c r="G27" s="21" t="str">
        <f>IF(F27="○",MAX(0,G1*0.85-585000),"")</f>
        <v/>
      </c>
      <c r="I27" s="170"/>
      <c r="J27" s="166"/>
      <c r="K27" s="165"/>
      <c r="L27" s="166"/>
      <c r="M27" s="16" t="s">
        <v>127</v>
      </c>
      <c r="N27" s="20" t="str">
        <f>IF(L25="○",IF(AND(4100000&lt;O1,O1&lt;=7700000),"○",""),"")</f>
        <v/>
      </c>
      <c r="O27" s="21" t="str">
        <f>IF(N27="○",MAX(0,O1*0.85-585000),"")</f>
        <v/>
      </c>
      <c r="Q27" s="170"/>
      <c r="R27" s="166"/>
      <c r="S27" s="165"/>
      <c r="T27" s="166"/>
      <c r="U27" s="16" t="s">
        <v>127</v>
      </c>
      <c r="V27" s="20" t="str">
        <f>IF(T25="○",IF(AND(4100000&lt;W1,W1&lt;=7700000),"○",""),"")</f>
        <v/>
      </c>
      <c r="W27" s="21" t="str">
        <f>IF(V27="○",MAX(0,W1*0.85-585000),"")</f>
        <v/>
      </c>
      <c r="Y27" s="170"/>
      <c r="Z27" s="166"/>
      <c r="AA27" s="165"/>
      <c r="AB27" s="166"/>
      <c r="AC27" s="16" t="s">
        <v>127</v>
      </c>
      <c r="AD27" s="20" t="str">
        <f>IF(AB25="○",IF(AND(4100000&lt;AE1,AE1&lt;=7700000),"○",""),"")</f>
        <v/>
      </c>
      <c r="AE27" s="21" t="str">
        <f>IF(AD27="○",MAX(0,AE1*0.85-585000),"")</f>
        <v/>
      </c>
      <c r="AG27" s="170"/>
      <c r="AH27" s="166"/>
      <c r="AI27" s="165"/>
      <c r="AJ27" s="166"/>
      <c r="AK27" s="16" t="s">
        <v>127</v>
      </c>
      <c r="AL27" s="20" t="str">
        <f>IF(AJ25="○",IF(AND(4100000&lt;AM1,AM1&lt;=7700000),"○",""),"")</f>
        <v/>
      </c>
      <c r="AM27" s="21" t="str">
        <f>IF(AL27="○",MAX(0,AM1*0.85-585000),"")</f>
        <v/>
      </c>
      <c r="AO27" s="170"/>
      <c r="AP27" s="166"/>
      <c r="AQ27" s="165"/>
      <c r="AR27" s="166"/>
      <c r="AS27" s="16" t="s">
        <v>127</v>
      </c>
      <c r="AT27" s="20" t="str">
        <f>IF(AR25="○",IF(AND(4100000&lt;AU1,AU1&lt;=7700000),"○",""),"")</f>
        <v/>
      </c>
      <c r="AU27" s="21" t="str">
        <f>IF(AT27="○",MAX(0,AU1*0.85-585000),"")</f>
        <v/>
      </c>
      <c r="AW27" s="170"/>
      <c r="AX27" s="166"/>
      <c r="AY27" s="165"/>
      <c r="AZ27" s="166"/>
      <c r="BA27" s="16" t="s">
        <v>127</v>
      </c>
      <c r="BB27" s="20" t="str">
        <f>IF(AZ25="○",IF(AND(4100000&lt;BC1,BC1&lt;=7700000),"○",""),"")</f>
        <v/>
      </c>
      <c r="BC27" s="21" t="str">
        <f>IF(BB27="○",MAX(0,BC1*0.85-585000),"")</f>
        <v/>
      </c>
      <c r="BE27" s="170"/>
      <c r="BF27" s="166"/>
      <c r="BG27" s="165"/>
      <c r="BH27" s="166"/>
      <c r="BI27" s="16" t="s">
        <v>127</v>
      </c>
      <c r="BJ27" s="20" t="str">
        <f>IF(BH25="○",IF(AND(4100000&lt;BK1,BK1&lt;=7700000),"○",""),"")</f>
        <v/>
      </c>
      <c r="BK27" s="21" t="str">
        <f>IF(BJ27="○",MAX(0,BK1*0.85-585000),"")</f>
        <v/>
      </c>
    </row>
    <row r="28" spans="1:63" ht="18.75" customHeight="1" x14ac:dyDescent="0.2">
      <c r="A28" s="170"/>
      <c r="B28" s="166"/>
      <c r="C28" s="172"/>
      <c r="D28" s="166"/>
      <c r="E28" s="16" t="s">
        <v>128</v>
      </c>
      <c r="F28" s="20" t="str">
        <f>IF(D25="○",IF(AND(7700000&lt;G1,G1&lt;=10000000),"○",""),"")</f>
        <v/>
      </c>
      <c r="G28" s="21" t="str">
        <f>IF(F28="○",MAX(0,G1*0.95-1355000),"")</f>
        <v/>
      </c>
      <c r="I28" s="170"/>
      <c r="J28" s="166"/>
      <c r="K28" s="165"/>
      <c r="L28" s="166"/>
      <c r="M28" s="16" t="s">
        <v>128</v>
      </c>
      <c r="N28" s="20" t="str">
        <f>IF(L25="○",IF(AND(7700000&lt;O1,O1&lt;=10000000),"○",""),"")</f>
        <v/>
      </c>
      <c r="O28" s="21" t="str">
        <f>IF(N28="○",MAX(0,O1*0.95-1355000),"")</f>
        <v/>
      </c>
      <c r="Q28" s="170"/>
      <c r="R28" s="166"/>
      <c r="S28" s="165"/>
      <c r="T28" s="166"/>
      <c r="U28" s="16" t="s">
        <v>128</v>
      </c>
      <c r="V28" s="20" t="str">
        <f>IF(T25="○",IF(AND(7700000&lt;W1,W1&lt;=10000000),"○",""),"")</f>
        <v/>
      </c>
      <c r="W28" s="21" t="str">
        <f>IF(V28="○",MAX(0,W1*0.95-1355000),"")</f>
        <v/>
      </c>
      <c r="Y28" s="170"/>
      <c r="Z28" s="166"/>
      <c r="AA28" s="165"/>
      <c r="AB28" s="166"/>
      <c r="AC28" s="16" t="s">
        <v>128</v>
      </c>
      <c r="AD28" s="20" t="str">
        <f>IF(AB25="○",IF(AND(7700000&lt;AE1,AE1&lt;=10000000),"○",""),"")</f>
        <v/>
      </c>
      <c r="AE28" s="21" t="str">
        <f>IF(AD28="○",MAX(0,AE1*0.95-1355000),"")</f>
        <v/>
      </c>
      <c r="AG28" s="170"/>
      <c r="AH28" s="166"/>
      <c r="AI28" s="165"/>
      <c r="AJ28" s="166"/>
      <c r="AK28" s="16" t="s">
        <v>128</v>
      </c>
      <c r="AL28" s="20" t="str">
        <f>IF(AJ25="○",IF(AND(7700000&lt;AM1,AM1&lt;=10000000),"○",""),"")</f>
        <v/>
      </c>
      <c r="AM28" s="21" t="str">
        <f>IF(AL28="○",MAX(0,AM1*0.95-1355000),"")</f>
        <v/>
      </c>
      <c r="AO28" s="170"/>
      <c r="AP28" s="166"/>
      <c r="AQ28" s="165"/>
      <c r="AR28" s="166"/>
      <c r="AS28" s="16" t="s">
        <v>128</v>
      </c>
      <c r="AT28" s="20" t="str">
        <f>IF(AR25="○",IF(AND(7700000&lt;AU1,AU1&lt;=10000000),"○",""),"")</f>
        <v/>
      </c>
      <c r="AU28" s="21" t="str">
        <f>IF(AT28="○",MAX(0,AU1*0.95-1355000),"")</f>
        <v/>
      </c>
      <c r="AW28" s="170"/>
      <c r="AX28" s="166"/>
      <c r="AY28" s="165"/>
      <c r="AZ28" s="166"/>
      <c r="BA28" s="16" t="s">
        <v>128</v>
      </c>
      <c r="BB28" s="20" t="str">
        <f>IF(AZ25="○",IF(AND(7700000&lt;BC1,BC1&lt;=10000000),"○",""),"")</f>
        <v/>
      </c>
      <c r="BC28" s="21" t="str">
        <f>IF(BB28="○",MAX(0,BC1*0.95-1355000),"")</f>
        <v/>
      </c>
      <c r="BE28" s="170"/>
      <c r="BF28" s="166"/>
      <c r="BG28" s="165"/>
      <c r="BH28" s="166"/>
      <c r="BI28" s="16" t="s">
        <v>128</v>
      </c>
      <c r="BJ28" s="20" t="str">
        <f>IF(BH25="○",IF(AND(7700000&lt;BK1,BK1&lt;=10000000),"○",""),"")</f>
        <v/>
      </c>
      <c r="BK28" s="21" t="str">
        <f>IF(BJ28="○",MAX(0,BK1*0.95-1355000),"")</f>
        <v/>
      </c>
    </row>
    <row r="29" spans="1:63" ht="18.75" customHeight="1" x14ac:dyDescent="0.2">
      <c r="A29" s="170"/>
      <c r="B29" s="166"/>
      <c r="C29" s="173"/>
      <c r="D29" s="166"/>
      <c r="E29" s="16" t="s">
        <v>129</v>
      </c>
      <c r="F29" s="20" t="str">
        <f>IF(D25="○",IF(10000000&lt;G1,"○",""),"")</f>
        <v/>
      </c>
      <c r="G29" s="21" t="str">
        <f>IF(F29="○",MAX(0,G1-1855000),"")</f>
        <v/>
      </c>
      <c r="I29" s="170"/>
      <c r="J29" s="166"/>
      <c r="K29" s="165"/>
      <c r="L29" s="166"/>
      <c r="M29" s="16" t="s">
        <v>129</v>
      </c>
      <c r="N29" s="20" t="str">
        <f>IF(L25="○",IF(10000000&lt;O1,"○",""),"")</f>
        <v/>
      </c>
      <c r="O29" s="21" t="str">
        <f>IF(N29="○",MAX(0,O1-1855000),"")</f>
        <v/>
      </c>
      <c r="Q29" s="170"/>
      <c r="R29" s="166"/>
      <c r="S29" s="165"/>
      <c r="T29" s="166"/>
      <c r="U29" s="16" t="s">
        <v>129</v>
      </c>
      <c r="V29" s="20" t="str">
        <f>IF(T25="○",IF(10000000&lt;W1,"○",""),"")</f>
        <v/>
      </c>
      <c r="W29" s="21" t="str">
        <f>IF(V29="○",MAX(0,W1-1855000),"")</f>
        <v/>
      </c>
      <c r="Y29" s="170"/>
      <c r="Z29" s="166"/>
      <c r="AA29" s="165"/>
      <c r="AB29" s="166"/>
      <c r="AC29" s="16" t="s">
        <v>129</v>
      </c>
      <c r="AD29" s="20" t="str">
        <f>IF(AB25="○",IF(10000000&lt;AE1,"○",""),"")</f>
        <v/>
      </c>
      <c r="AE29" s="21" t="str">
        <f>IF(AD29="○",MAX(0,AE1-1855000),"")</f>
        <v/>
      </c>
      <c r="AG29" s="170"/>
      <c r="AH29" s="166"/>
      <c r="AI29" s="165"/>
      <c r="AJ29" s="166"/>
      <c r="AK29" s="16" t="s">
        <v>129</v>
      </c>
      <c r="AL29" s="20" t="str">
        <f>IF(AJ25="○",IF(10000000&lt;AM1,"○",""),"")</f>
        <v/>
      </c>
      <c r="AM29" s="21" t="str">
        <f>IF(AL29="○",MAX(0,AM1-1855000),"")</f>
        <v/>
      </c>
      <c r="AO29" s="170"/>
      <c r="AP29" s="166"/>
      <c r="AQ29" s="165"/>
      <c r="AR29" s="166"/>
      <c r="AS29" s="16" t="s">
        <v>129</v>
      </c>
      <c r="AT29" s="20" t="str">
        <f>IF(AR25="○",IF(10000000&lt;AU1,"○",""),"")</f>
        <v/>
      </c>
      <c r="AU29" s="21" t="str">
        <f>IF(AT29="○",MAX(0,AU1-1855000),"")</f>
        <v/>
      </c>
      <c r="AW29" s="170"/>
      <c r="AX29" s="166"/>
      <c r="AY29" s="165"/>
      <c r="AZ29" s="166"/>
      <c r="BA29" s="16" t="s">
        <v>129</v>
      </c>
      <c r="BB29" s="20" t="str">
        <f>IF(AZ25="○",IF(10000000&lt;BC1,"○",""),"")</f>
        <v/>
      </c>
      <c r="BC29" s="21" t="str">
        <f>IF(BB29="○",MAX(0,BC1-1855000),"")</f>
        <v/>
      </c>
      <c r="BE29" s="170"/>
      <c r="BF29" s="166"/>
      <c r="BG29" s="165"/>
      <c r="BH29" s="166"/>
      <c r="BI29" s="16" t="s">
        <v>129</v>
      </c>
      <c r="BJ29" s="20" t="str">
        <f>IF(BH25="○",IF(10000000&lt;BK1,"○",""),"")</f>
        <v/>
      </c>
      <c r="BK29" s="21" t="str">
        <f>IF(BJ29="○",MAX(0,BK1-1855000),"")</f>
        <v/>
      </c>
    </row>
    <row r="30" spans="1:63" ht="18.75" customHeight="1" x14ac:dyDescent="0.2">
      <c r="A30" s="170"/>
      <c r="B30" s="166"/>
      <c r="C30" s="171" t="s">
        <v>131</v>
      </c>
      <c r="D30" s="166" t="str">
        <f>IF(B20="○",IF(20000000&lt;G2,"○",""),"")</f>
        <v/>
      </c>
      <c r="E30" s="16" t="s">
        <v>133</v>
      </c>
      <c r="F30" s="20" t="str">
        <f>IF(D30="○",IF(G1&lt;=3300000,"○",""),"")</f>
        <v/>
      </c>
      <c r="G30" s="21" t="str">
        <f>IF(F30="○",MAX(0,G1-900000),"")</f>
        <v/>
      </c>
      <c r="I30" s="170"/>
      <c r="J30" s="166"/>
      <c r="K30" s="165" t="s">
        <v>131</v>
      </c>
      <c r="L30" s="166" t="str">
        <f>IF(J20="○",IF(20000000&lt;O2,"○",""),"")</f>
        <v/>
      </c>
      <c r="M30" s="16" t="s">
        <v>133</v>
      </c>
      <c r="N30" s="20" t="str">
        <f>IF(L30="○",IF(O1&lt;=3300000,"○",""),"")</f>
        <v/>
      </c>
      <c r="O30" s="21" t="str">
        <f>IF(N30="○",MAX(0,O1-900000),"")</f>
        <v/>
      </c>
      <c r="Q30" s="170"/>
      <c r="R30" s="166"/>
      <c r="S30" s="165" t="s">
        <v>131</v>
      </c>
      <c r="T30" s="166" t="str">
        <f>IF(R20="○",IF(20000000&lt;W2,"○",""),"")</f>
        <v/>
      </c>
      <c r="U30" s="16" t="s">
        <v>133</v>
      </c>
      <c r="V30" s="20" t="str">
        <f>IF(T30="○",IF(W1&lt;=3300000,"○",""),"")</f>
        <v/>
      </c>
      <c r="W30" s="21" t="str">
        <f>IF(V30="○",MAX(0,W1-900000),"")</f>
        <v/>
      </c>
      <c r="Y30" s="170"/>
      <c r="Z30" s="166"/>
      <c r="AA30" s="165" t="s">
        <v>131</v>
      </c>
      <c r="AB30" s="166" t="str">
        <f>IF(Z20="○",IF(20000000&lt;AE2,"○",""),"")</f>
        <v/>
      </c>
      <c r="AC30" s="16" t="s">
        <v>133</v>
      </c>
      <c r="AD30" s="20" t="str">
        <f>IF(AB30="○",IF(AE1&lt;=3300000,"○",""),"")</f>
        <v/>
      </c>
      <c r="AE30" s="21" t="str">
        <f>IF(AD30="○",MAX(0,AE1-900000),"")</f>
        <v/>
      </c>
      <c r="AG30" s="170"/>
      <c r="AH30" s="166"/>
      <c r="AI30" s="165" t="s">
        <v>131</v>
      </c>
      <c r="AJ30" s="166" t="str">
        <f>IF(AH20="○",IF(20000000&lt;AM2,"○",""),"")</f>
        <v/>
      </c>
      <c r="AK30" s="16" t="s">
        <v>133</v>
      </c>
      <c r="AL30" s="20" t="str">
        <f>IF(AJ30="○",IF(AM1&lt;=3300000,"○",""),"")</f>
        <v/>
      </c>
      <c r="AM30" s="21" t="str">
        <f>IF(AL30="○",MAX(0,AM1-900000),"")</f>
        <v/>
      </c>
      <c r="AO30" s="170"/>
      <c r="AP30" s="166"/>
      <c r="AQ30" s="165" t="s">
        <v>131</v>
      </c>
      <c r="AR30" s="166" t="str">
        <f>IF(AP20="○",IF(20000000&lt;AU2,"○",""),"")</f>
        <v/>
      </c>
      <c r="AS30" s="16" t="s">
        <v>133</v>
      </c>
      <c r="AT30" s="20" t="str">
        <f>IF(AR30="○",IF(AU1&lt;=3300000,"○",""),"")</f>
        <v/>
      </c>
      <c r="AU30" s="21" t="str">
        <f>IF(AT30="○",MAX(0,AU1-900000),"")</f>
        <v/>
      </c>
      <c r="AW30" s="170"/>
      <c r="AX30" s="166"/>
      <c r="AY30" s="165" t="s">
        <v>131</v>
      </c>
      <c r="AZ30" s="166" t="str">
        <f>IF(AX20="○",IF(20000000&lt;BC2,"○",""),"")</f>
        <v/>
      </c>
      <c r="BA30" s="16" t="s">
        <v>133</v>
      </c>
      <c r="BB30" s="20" t="str">
        <f>IF(AZ30="○",IF(BC1&lt;=3300000,"○",""),"")</f>
        <v/>
      </c>
      <c r="BC30" s="21" t="str">
        <f>IF(BB30="○",MAX(0,BC1-900000),"")</f>
        <v/>
      </c>
      <c r="BE30" s="170"/>
      <c r="BF30" s="166"/>
      <c r="BG30" s="165" t="s">
        <v>131</v>
      </c>
      <c r="BH30" s="166" t="str">
        <f>IF(BF20="○",IF(20000000&lt;BK2,"○",""),"")</f>
        <v/>
      </c>
      <c r="BI30" s="16" t="s">
        <v>133</v>
      </c>
      <c r="BJ30" s="20" t="str">
        <f>IF(BH30="○",IF(BK1&lt;=3300000,"○",""),"")</f>
        <v/>
      </c>
      <c r="BK30" s="21" t="str">
        <f>IF(BJ30="○",MAX(0,BK1-900000),"")</f>
        <v/>
      </c>
    </row>
    <row r="31" spans="1:63" ht="18.75" customHeight="1" x14ac:dyDescent="0.2">
      <c r="A31" s="170"/>
      <c r="B31" s="166"/>
      <c r="C31" s="172"/>
      <c r="D31" s="166"/>
      <c r="E31" s="16" t="s">
        <v>134</v>
      </c>
      <c r="F31" s="20" t="str">
        <f>IF(D30="○",IF(AND(3300000&lt;G1,G1&lt;=4100000),"○",""),"")</f>
        <v/>
      </c>
      <c r="G31" s="21" t="str">
        <f>IF(F31="○",MAX(0,G1*0.75-75000),"")</f>
        <v/>
      </c>
      <c r="I31" s="170"/>
      <c r="J31" s="166"/>
      <c r="K31" s="165"/>
      <c r="L31" s="166"/>
      <c r="M31" s="16" t="s">
        <v>134</v>
      </c>
      <c r="N31" s="20" t="str">
        <f>IF(L30="○",IF(AND(3300000&lt;O1,O1&lt;=4100000),"○",""),"")</f>
        <v/>
      </c>
      <c r="O31" s="21" t="str">
        <f>IF(N31="○",MAX(0,O1*0.75-75000),"")</f>
        <v/>
      </c>
      <c r="Q31" s="170"/>
      <c r="R31" s="166"/>
      <c r="S31" s="165"/>
      <c r="T31" s="166"/>
      <c r="U31" s="16" t="s">
        <v>134</v>
      </c>
      <c r="V31" s="20" t="str">
        <f>IF(T30="○",IF(AND(3300000&lt;W1,W1&lt;=4100000),"○",""),"")</f>
        <v/>
      </c>
      <c r="W31" s="21" t="str">
        <f>IF(V31="○",MAX(0,W1*0.75-75000),"")</f>
        <v/>
      </c>
      <c r="Y31" s="170"/>
      <c r="Z31" s="166"/>
      <c r="AA31" s="165"/>
      <c r="AB31" s="166"/>
      <c r="AC31" s="16" t="s">
        <v>134</v>
      </c>
      <c r="AD31" s="20" t="str">
        <f>IF(AB30="○",IF(AND(3300000&lt;AE1,AE1&lt;=4100000),"○",""),"")</f>
        <v/>
      </c>
      <c r="AE31" s="21" t="str">
        <f>IF(AD31="○",MAX(0,AE1*0.75-75000),"")</f>
        <v/>
      </c>
      <c r="AG31" s="170"/>
      <c r="AH31" s="166"/>
      <c r="AI31" s="165"/>
      <c r="AJ31" s="166"/>
      <c r="AK31" s="16" t="s">
        <v>134</v>
      </c>
      <c r="AL31" s="20" t="str">
        <f>IF(AJ30="○",IF(AND(3300000&lt;AM1,AM1&lt;=4100000),"○",""),"")</f>
        <v/>
      </c>
      <c r="AM31" s="21" t="str">
        <f>IF(AL31="○",MAX(0,AM1*0.75-75000),"")</f>
        <v/>
      </c>
      <c r="AO31" s="170"/>
      <c r="AP31" s="166"/>
      <c r="AQ31" s="165"/>
      <c r="AR31" s="166"/>
      <c r="AS31" s="16" t="s">
        <v>134</v>
      </c>
      <c r="AT31" s="20" t="str">
        <f>IF(AR30="○",IF(AND(3300000&lt;AU1,AU1&lt;=4100000),"○",""),"")</f>
        <v/>
      </c>
      <c r="AU31" s="21" t="str">
        <f>IF(AT31="○",MAX(0,AU1*0.75-75000),"")</f>
        <v/>
      </c>
      <c r="AW31" s="170"/>
      <c r="AX31" s="166"/>
      <c r="AY31" s="165"/>
      <c r="AZ31" s="166"/>
      <c r="BA31" s="16" t="s">
        <v>134</v>
      </c>
      <c r="BB31" s="20" t="str">
        <f>IF(AZ30="○",IF(AND(3300000&lt;BC1,BC1&lt;=4100000),"○",""),"")</f>
        <v/>
      </c>
      <c r="BC31" s="21" t="str">
        <f>IF(BB31="○",MAX(0,BC1*0.75-75000),"")</f>
        <v/>
      </c>
      <c r="BE31" s="170"/>
      <c r="BF31" s="166"/>
      <c r="BG31" s="165"/>
      <c r="BH31" s="166"/>
      <c r="BI31" s="16" t="s">
        <v>134</v>
      </c>
      <c r="BJ31" s="20" t="str">
        <f>IF(BH30="○",IF(AND(3300000&lt;BK1,BK1&lt;=4100000),"○",""),"")</f>
        <v/>
      </c>
      <c r="BK31" s="21" t="str">
        <f>IF(BJ31="○",MAX(0,BK1*0.75-75000),"")</f>
        <v/>
      </c>
    </row>
    <row r="32" spans="1:63" ht="18.75" customHeight="1" x14ac:dyDescent="0.2">
      <c r="A32" s="170"/>
      <c r="B32" s="166"/>
      <c r="C32" s="172"/>
      <c r="D32" s="166"/>
      <c r="E32" s="16" t="s">
        <v>127</v>
      </c>
      <c r="F32" s="20" t="str">
        <f>IF(D30="○",IF(AND(4100000&lt;G1,G1&lt;=7700000),"○",""),"")</f>
        <v/>
      </c>
      <c r="G32" s="21" t="str">
        <f>IF(F32="○",MAX(0,G1*0.85-485000),"")</f>
        <v/>
      </c>
      <c r="I32" s="170"/>
      <c r="J32" s="166"/>
      <c r="K32" s="165"/>
      <c r="L32" s="166"/>
      <c r="M32" s="16" t="s">
        <v>127</v>
      </c>
      <c r="N32" s="20" t="str">
        <f>IF(L30="○",IF(AND(4100000&lt;O1,O1&lt;=7700000),"○",""),"")</f>
        <v/>
      </c>
      <c r="O32" s="21" t="str">
        <f>IF(N32="○",MAX(0,O1*0.85-485000),"")</f>
        <v/>
      </c>
      <c r="Q32" s="170"/>
      <c r="R32" s="166"/>
      <c r="S32" s="165"/>
      <c r="T32" s="166"/>
      <c r="U32" s="16" t="s">
        <v>127</v>
      </c>
      <c r="V32" s="20" t="str">
        <f>IF(T30="○",IF(AND(4100000&lt;W1,W1&lt;=7700000),"○",""),"")</f>
        <v/>
      </c>
      <c r="W32" s="21" t="str">
        <f>IF(V32="○",MAX(0,W1*0.85-485000),"")</f>
        <v/>
      </c>
      <c r="Y32" s="170"/>
      <c r="Z32" s="166"/>
      <c r="AA32" s="165"/>
      <c r="AB32" s="166"/>
      <c r="AC32" s="16" t="s">
        <v>127</v>
      </c>
      <c r="AD32" s="20" t="str">
        <f>IF(AB30="○",IF(AND(4100000&lt;AE1,AE1&lt;=7700000),"○",""),"")</f>
        <v/>
      </c>
      <c r="AE32" s="21" t="str">
        <f>IF(AD32="○",MAX(0,AE1*0.85-485000),"")</f>
        <v/>
      </c>
      <c r="AG32" s="170"/>
      <c r="AH32" s="166"/>
      <c r="AI32" s="165"/>
      <c r="AJ32" s="166"/>
      <c r="AK32" s="16" t="s">
        <v>127</v>
      </c>
      <c r="AL32" s="20" t="str">
        <f>IF(AJ30="○",IF(AND(4100000&lt;AM1,AM1&lt;=7700000),"○",""),"")</f>
        <v/>
      </c>
      <c r="AM32" s="21" t="str">
        <f>IF(AL32="○",MAX(0,AM1*0.85-485000),"")</f>
        <v/>
      </c>
      <c r="AO32" s="170"/>
      <c r="AP32" s="166"/>
      <c r="AQ32" s="165"/>
      <c r="AR32" s="166"/>
      <c r="AS32" s="16" t="s">
        <v>127</v>
      </c>
      <c r="AT32" s="20" t="str">
        <f>IF(AR30="○",IF(AND(4100000&lt;AU1,AU1&lt;=7700000),"○",""),"")</f>
        <v/>
      </c>
      <c r="AU32" s="21" t="str">
        <f>IF(AT32="○",MAX(0,AU1*0.85-485000),"")</f>
        <v/>
      </c>
      <c r="AW32" s="170"/>
      <c r="AX32" s="166"/>
      <c r="AY32" s="165"/>
      <c r="AZ32" s="166"/>
      <c r="BA32" s="16" t="s">
        <v>127</v>
      </c>
      <c r="BB32" s="20" t="str">
        <f>IF(AZ30="○",IF(AND(4100000&lt;BC1,BC1&lt;=7700000),"○",""),"")</f>
        <v/>
      </c>
      <c r="BC32" s="21" t="str">
        <f>IF(BB32="○",MAX(0,BC1*0.85-485000),"")</f>
        <v/>
      </c>
      <c r="BE32" s="170"/>
      <c r="BF32" s="166"/>
      <c r="BG32" s="165"/>
      <c r="BH32" s="166"/>
      <c r="BI32" s="16" t="s">
        <v>127</v>
      </c>
      <c r="BJ32" s="20" t="str">
        <f>IF(BH30="○",IF(AND(4100000&lt;BK1,BK1&lt;=7700000),"○",""),"")</f>
        <v/>
      </c>
      <c r="BK32" s="21" t="str">
        <f>IF(BJ32="○",MAX(0,BK1*0.85-485000),"")</f>
        <v/>
      </c>
    </row>
    <row r="33" spans="1:63" ht="18.75" customHeight="1" x14ac:dyDescent="0.2">
      <c r="A33" s="170"/>
      <c r="B33" s="166"/>
      <c r="C33" s="172"/>
      <c r="D33" s="166"/>
      <c r="E33" s="16" t="s">
        <v>128</v>
      </c>
      <c r="F33" s="20" t="str">
        <f>IF(D30="○",IF(AND(7700000&lt;G1,G1&lt;=10000000),"○",""),"")</f>
        <v/>
      </c>
      <c r="G33" s="21" t="str">
        <f>IF(F33="○",MAX(0,G1*0.95-1255000),"")</f>
        <v/>
      </c>
      <c r="I33" s="170"/>
      <c r="J33" s="166"/>
      <c r="K33" s="165"/>
      <c r="L33" s="166"/>
      <c r="M33" s="16" t="s">
        <v>128</v>
      </c>
      <c r="N33" s="20" t="str">
        <f>IF(L30="○",IF(AND(7700000&lt;O1,O1&lt;=10000000),"○",""),"")</f>
        <v/>
      </c>
      <c r="O33" s="21" t="str">
        <f>IF(N33="○",MAX(0,O1*0.95-1255000),"")</f>
        <v/>
      </c>
      <c r="Q33" s="170"/>
      <c r="R33" s="166"/>
      <c r="S33" s="165"/>
      <c r="T33" s="166"/>
      <c r="U33" s="16" t="s">
        <v>128</v>
      </c>
      <c r="V33" s="20" t="str">
        <f>IF(T30="○",IF(AND(7700000&lt;W1,W1&lt;=10000000),"○",""),"")</f>
        <v/>
      </c>
      <c r="W33" s="21" t="str">
        <f>IF(V33="○",MAX(0,W1*0.95-1255000),"")</f>
        <v/>
      </c>
      <c r="Y33" s="170"/>
      <c r="Z33" s="166"/>
      <c r="AA33" s="165"/>
      <c r="AB33" s="166"/>
      <c r="AC33" s="16" t="s">
        <v>128</v>
      </c>
      <c r="AD33" s="20" t="str">
        <f>IF(AB30="○",IF(AND(7700000&lt;AE1,AE1&lt;=10000000),"○",""),"")</f>
        <v/>
      </c>
      <c r="AE33" s="21" t="str">
        <f>IF(AD33="○",MAX(0,AE1*0.95-1255000),"")</f>
        <v/>
      </c>
      <c r="AG33" s="170"/>
      <c r="AH33" s="166"/>
      <c r="AI33" s="165"/>
      <c r="AJ33" s="166"/>
      <c r="AK33" s="16" t="s">
        <v>128</v>
      </c>
      <c r="AL33" s="20" t="str">
        <f>IF(AJ30="○",IF(AND(7700000&lt;AM1,AM1&lt;=10000000),"○",""),"")</f>
        <v/>
      </c>
      <c r="AM33" s="21" t="str">
        <f>IF(AL33="○",MAX(0,AM1*0.95-1255000),"")</f>
        <v/>
      </c>
      <c r="AO33" s="170"/>
      <c r="AP33" s="166"/>
      <c r="AQ33" s="165"/>
      <c r="AR33" s="166"/>
      <c r="AS33" s="16" t="s">
        <v>128</v>
      </c>
      <c r="AT33" s="20" t="str">
        <f>IF(AR30="○",IF(AND(7700000&lt;AU1,AU1&lt;=10000000),"○",""),"")</f>
        <v/>
      </c>
      <c r="AU33" s="21" t="str">
        <f>IF(AT33="○",MAX(0,AU1*0.95-1255000),"")</f>
        <v/>
      </c>
      <c r="AW33" s="170"/>
      <c r="AX33" s="166"/>
      <c r="AY33" s="165"/>
      <c r="AZ33" s="166"/>
      <c r="BA33" s="16" t="s">
        <v>128</v>
      </c>
      <c r="BB33" s="20" t="str">
        <f>IF(AZ30="○",IF(AND(7700000&lt;BC1,BC1&lt;=10000000),"○",""),"")</f>
        <v/>
      </c>
      <c r="BC33" s="21" t="str">
        <f>IF(BB33="○",MAX(0,BC1*0.95-1255000),"")</f>
        <v/>
      </c>
      <c r="BE33" s="170"/>
      <c r="BF33" s="166"/>
      <c r="BG33" s="165"/>
      <c r="BH33" s="166"/>
      <c r="BI33" s="16" t="s">
        <v>128</v>
      </c>
      <c r="BJ33" s="20" t="str">
        <f>IF(BH30="○",IF(AND(7700000&lt;BK1,BK1&lt;=10000000),"○",""),"")</f>
        <v/>
      </c>
      <c r="BK33" s="21" t="str">
        <f>IF(BJ33="○",MAX(0,BK1*0.95-1255000),"")</f>
        <v/>
      </c>
    </row>
    <row r="34" spans="1:63" ht="18.75" customHeight="1" x14ac:dyDescent="0.2">
      <c r="A34" s="170"/>
      <c r="B34" s="166"/>
      <c r="C34" s="173"/>
      <c r="D34" s="166"/>
      <c r="E34" s="16" t="s">
        <v>129</v>
      </c>
      <c r="F34" s="20" t="str">
        <f>IF(D30="○",IF(10000000&lt;G1,"○",""),"")</f>
        <v/>
      </c>
      <c r="G34" s="21" t="str">
        <f>IF(F34="○",MAX(0,G1-1755000),"")</f>
        <v/>
      </c>
      <c r="I34" s="170"/>
      <c r="J34" s="166"/>
      <c r="K34" s="165"/>
      <c r="L34" s="166"/>
      <c r="M34" s="16" t="s">
        <v>129</v>
      </c>
      <c r="N34" s="20" t="str">
        <f>IF(L30="○",IF(10000000&lt;O1,"○",""),"")</f>
        <v/>
      </c>
      <c r="O34" s="21" t="str">
        <f>IF(N34="○",MAX(0,O1-1755000),"")</f>
        <v/>
      </c>
      <c r="Q34" s="170"/>
      <c r="R34" s="166"/>
      <c r="S34" s="165"/>
      <c r="T34" s="166"/>
      <c r="U34" s="16" t="s">
        <v>129</v>
      </c>
      <c r="V34" s="20" t="str">
        <f>IF(T30="○",IF(10000000&lt;W1,"○",""),"")</f>
        <v/>
      </c>
      <c r="W34" s="21" t="str">
        <f>IF(V34="○",MAX(0,W1-1755000),"")</f>
        <v/>
      </c>
      <c r="Y34" s="170"/>
      <c r="Z34" s="166"/>
      <c r="AA34" s="165"/>
      <c r="AB34" s="166"/>
      <c r="AC34" s="16" t="s">
        <v>129</v>
      </c>
      <c r="AD34" s="20" t="str">
        <f>IF(AB30="○",IF(10000000&lt;AE1,"○",""),"")</f>
        <v/>
      </c>
      <c r="AE34" s="21" t="str">
        <f>IF(AD34="○",MAX(0,AE1-1755000),"")</f>
        <v/>
      </c>
      <c r="AG34" s="170"/>
      <c r="AH34" s="166"/>
      <c r="AI34" s="165"/>
      <c r="AJ34" s="166"/>
      <c r="AK34" s="16" t="s">
        <v>129</v>
      </c>
      <c r="AL34" s="20" t="str">
        <f>IF(AJ30="○",IF(10000000&lt;AM1,"○",""),"")</f>
        <v/>
      </c>
      <c r="AM34" s="21" t="str">
        <f>IF(AL34="○",MAX(0,AM1-1755000),"")</f>
        <v/>
      </c>
      <c r="AO34" s="170"/>
      <c r="AP34" s="166"/>
      <c r="AQ34" s="165"/>
      <c r="AR34" s="166"/>
      <c r="AS34" s="16" t="s">
        <v>129</v>
      </c>
      <c r="AT34" s="20" t="str">
        <f>IF(AR30="○",IF(10000000&lt;AU1,"○",""),"")</f>
        <v/>
      </c>
      <c r="AU34" s="21" t="str">
        <f>IF(AT34="○",MAX(0,AU1-1755000),"")</f>
        <v/>
      </c>
      <c r="AW34" s="170"/>
      <c r="AX34" s="166"/>
      <c r="AY34" s="165"/>
      <c r="AZ34" s="166"/>
      <c r="BA34" s="16" t="s">
        <v>129</v>
      </c>
      <c r="BB34" s="20" t="str">
        <f>IF(AZ30="○",IF(10000000&lt;BC1,"○",""),"")</f>
        <v/>
      </c>
      <c r="BC34" s="21" t="str">
        <f>IF(BB34="○",MAX(0,BC1-1755000),"")</f>
        <v/>
      </c>
      <c r="BE34" s="170"/>
      <c r="BF34" s="166"/>
      <c r="BG34" s="165"/>
      <c r="BH34" s="166"/>
      <c r="BI34" s="16" t="s">
        <v>129</v>
      </c>
      <c r="BJ34" s="20" t="str">
        <f>IF(BH30="○",IF(10000000&lt;BK1,"○",""),"")</f>
        <v/>
      </c>
      <c r="BK34" s="21" t="str">
        <f>IF(BJ34="○",MAX(0,BK1-1755000),"")</f>
        <v/>
      </c>
    </row>
  </sheetData>
  <mergeCells count="160">
    <mergeCell ref="E2:F2"/>
    <mergeCell ref="M2:N2"/>
    <mergeCell ref="A4:B4"/>
    <mergeCell ref="C4:D4"/>
    <mergeCell ref="E4:F4"/>
    <mergeCell ref="A20:A34"/>
    <mergeCell ref="B20:B34"/>
    <mergeCell ref="C20:C24"/>
    <mergeCell ref="D20:D24"/>
    <mergeCell ref="C25:C29"/>
    <mergeCell ref="D25:D29"/>
    <mergeCell ref="C30:C34"/>
    <mergeCell ref="D30:D34"/>
    <mergeCell ref="A5:A19"/>
    <mergeCell ref="C5:C9"/>
    <mergeCell ref="C10:C14"/>
    <mergeCell ref="C15:C19"/>
    <mergeCell ref="B5:B19"/>
    <mergeCell ref="D10:D14"/>
    <mergeCell ref="D5:D9"/>
    <mergeCell ref="D15:D19"/>
    <mergeCell ref="I4:J4"/>
    <mergeCell ref="K4:L4"/>
    <mergeCell ref="M4:N4"/>
    <mergeCell ref="I5:I19"/>
    <mergeCell ref="J5:J19"/>
    <mergeCell ref="K5:K9"/>
    <mergeCell ref="L5:L9"/>
    <mergeCell ref="K10:K14"/>
    <mergeCell ref="L10:L14"/>
    <mergeCell ref="K15:K19"/>
    <mergeCell ref="L15:L19"/>
    <mergeCell ref="I20:I34"/>
    <mergeCell ref="J20:J34"/>
    <mergeCell ref="K20:K24"/>
    <mergeCell ref="L20:L24"/>
    <mergeCell ref="K25:K29"/>
    <mergeCell ref="L25:L29"/>
    <mergeCell ref="K30:K34"/>
    <mergeCell ref="L30:L34"/>
    <mergeCell ref="U2:V2"/>
    <mergeCell ref="Q4:R4"/>
    <mergeCell ref="S4:T4"/>
    <mergeCell ref="U4:V4"/>
    <mergeCell ref="Q5:Q19"/>
    <mergeCell ref="R5:R19"/>
    <mergeCell ref="S5:S9"/>
    <mergeCell ref="T5:T9"/>
    <mergeCell ref="S10:S14"/>
    <mergeCell ref="T10:T14"/>
    <mergeCell ref="S15:S19"/>
    <mergeCell ref="T15:T19"/>
    <mergeCell ref="Q20:Q34"/>
    <mergeCell ref="R20:R34"/>
    <mergeCell ref="S20:S24"/>
    <mergeCell ref="T20:T24"/>
    <mergeCell ref="S25:S29"/>
    <mergeCell ref="T25:T29"/>
    <mergeCell ref="S30:S34"/>
    <mergeCell ref="T30:T34"/>
    <mergeCell ref="AC2:AD2"/>
    <mergeCell ref="Y4:Z4"/>
    <mergeCell ref="AA4:AB4"/>
    <mergeCell ref="AC4:AD4"/>
    <mergeCell ref="Y5:Y19"/>
    <mergeCell ref="Z5:Z19"/>
    <mergeCell ref="AA5:AA9"/>
    <mergeCell ref="AB5:AB9"/>
    <mergeCell ref="AA10:AA14"/>
    <mergeCell ref="AB10:AB14"/>
    <mergeCell ref="AA15:AA19"/>
    <mergeCell ref="AB15:AB19"/>
    <mergeCell ref="Y20:Y34"/>
    <mergeCell ref="Z20:Z34"/>
    <mergeCell ref="AA20:AA24"/>
    <mergeCell ref="AB20:AB24"/>
    <mergeCell ref="AA25:AA29"/>
    <mergeCell ref="AB25:AB29"/>
    <mergeCell ref="AA30:AA34"/>
    <mergeCell ref="AB30:AB34"/>
    <mergeCell ref="AK2:AL2"/>
    <mergeCell ref="AG4:AH4"/>
    <mergeCell ref="AI4:AJ4"/>
    <mergeCell ref="AK4:AL4"/>
    <mergeCell ref="AG5:AG19"/>
    <mergeCell ref="AH5:AH19"/>
    <mergeCell ref="AI5:AI9"/>
    <mergeCell ref="AJ5:AJ9"/>
    <mergeCell ref="AI10:AI14"/>
    <mergeCell ref="AJ10:AJ14"/>
    <mergeCell ref="AI15:AI19"/>
    <mergeCell ref="AJ15:AJ19"/>
    <mergeCell ref="AG20:AG34"/>
    <mergeCell ref="AH20:AH34"/>
    <mergeCell ref="AI20:AI24"/>
    <mergeCell ref="AJ20:AJ24"/>
    <mergeCell ref="AI25:AI29"/>
    <mergeCell ref="AJ25:AJ29"/>
    <mergeCell ref="AI30:AI34"/>
    <mergeCell ref="AJ30:AJ34"/>
    <mergeCell ref="AS2:AT2"/>
    <mergeCell ref="AO4:AP4"/>
    <mergeCell ref="AQ4:AR4"/>
    <mergeCell ref="AS4:AT4"/>
    <mergeCell ref="AO5:AO19"/>
    <mergeCell ref="AP5:AP19"/>
    <mergeCell ref="AQ5:AQ9"/>
    <mergeCell ref="AR5:AR9"/>
    <mergeCell ref="AQ10:AQ14"/>
    <mergeCell ref="AR10:AR14"/>
    <mergeCell ref="AQ15:AQ19"/>
    <mergeCell ref="AR15:AR19"/>
    <mergeCell ref="AO20:AO34"/>
    <mergeCell ref="AP20:AP34"/>
    <mergeCell ref="AQ20:AQ24"/>
    <mergeCell ref="AR20:AR24"/>
    <mergeCell ref="AQ25:AQ29"/>
    <mergeCell ref="AR25:AR29"/>
    <mergeCell ref="AQ30:AQ34"/>
    <mergeCell ref="AR30:AR34"/>
    <mergeCell ref="BA2:BB2"/>
    <mergeCell ref="AW4:AX4"/>
    <mergeCell ref="AY4:AZ4"/>
    <mergeCell ref="BA4:BB4"/>
    <mergeCell ref="AW5:AW19"/>
    <mergeCell ref="AX5:AX19"/>
    <mergeCell ref="AY5:AY9"/>
    <mergeCell ref="AZ5:AZ9"/>
    <mergeCell ref="AY10:AY14"/>
    <mergeCell ref="AZ10:AZ14"/>
    <mergeCell ref="AY15:AY19"/>
    <mergeCell ref="AZ15:AZ19"/>
    <mergeCell ref="AW20:AW34"/>
    <mergeCell ref="AX20:AX34"/>
    <mergeCell ref="AY20:AY24"/>
    <mergeCell ref="AZ20:AZ24"/>
    <mergeCell ref="AY25:AY29"/>
    <mergeCell ref="AZ25:AZ29"/>
    <mergeCell ref="AY30:AY34"/>
    <mergeCell ref="AZ30:AZ34"/>
    <mergeCell ref="BI2:BJ2"/>
    <mergeCell ref="BE4:BF4"/>
    <mergeCell ref="BG4:BH4"/>
    <mergeCell ref="BI4:BJ4"/>
    <mergeCell ref="BE5:BE19"/>
    <mergeCell ref="BF5:BF19"/>
    <mergeCell ref="BG5:BG9"/>
    <mergeCell ref="BH5:BH9"/>
    <mergeCell ref="BG10:BG14"/>
    <mergeCell ref="BH10:BH14"/>
    <mergeCell ref="BG15:BG19"/>
    <mergeCell ref="BH15:BH19"/>
    <mergeCell ref="BE20:BE34"/>
    <mergeCell ref="BF20:BF34"/>
    <mergeCell ref="BG20:BG24"/>
    <mergeCell ref="BH20:BH24"/>
    <mergeCell ref="BG25:BG29"/>
    <mergeCell ref="BH25:BH29"/>
    <mergeCell ref="BG30:BG34"/>
    <mergeCell ref="BH30:BH34"/>
  </mergeCells>
  <phoneticPr fontId="1"/>
  <conditionalFormatting sqref="A5:A19">
    <cfRule type="expression" dxfId="33" priority="65">
      <formula>NOT($B$5="")</formula>
    </cfRule>
  </conditionalFormatting>
  <conditionalFormatting sqref="A20:A34">
    <cfRule type="expression" dxfId="32" priority="63">
      <formula>NOT($B$20="")</formula>
    </cfRule>
  </conditionalFormatting>
  <conditionalFormatting sqref="B5:B34 D5:D34 F5:F34 J5:J34 L5:L34 N5:N34 R5:R34 T5:T34 V5:V34 Z5:Z34 AB5:AB34 AD5:AD34 AH5:AH34 AJ5:AJ34 AL5:AL34 AP5:AP34 AR5:AR34 AT5:AT34 AX5:AX34 AZ5:AZ34 BB5:BB34 BF5:BF34 BH5:BH34 BJ5:BJ34">
    <cfRule type="containsText" dxfId="31" priority="67" operator="containsText" text="○">
      <formula>NOT(ISERROR(SEARCH("○",B5)))</formula>
    </cfRule>
  </conditionalFormatting>
  <conditionalFormatting sqref="C5:C34">
    <cfRule type="expression" dxfId="30" priority="56">
      <formula>NOT($D5="")</formula>
    </cfRule>
  </conditionalFormatting>
  <conditionalFormatting sqref="E5:E34">
    <cfRule type="expression" dxfId="29" priority="58">
      <formula>NOT($F5="")</formula>
    </cfRule>
  </conditionalFormatting>
  <conditionalFormatting sqref="G5:G34">
    <cfRule type="notContainsBlanks" dxfId="28" priority="55">
      <formula>LEN(TRIM(G5))&gt;0</formula>
    </cfRule>
  </conditionalFormatting>
  <conditionalFormatting sqref="I5:I34">
    <cfRule type="expression" dxfId="27" priority="51">
      <formula>NOT($J5="")</formula>
    </cfRule>
  </conditionalFormatting>
  <conditionalFormatting sqref="K5:K34">
    <cfRule type="expression" dxfId="26" priority="49">
      <formula>NOT($L5="")</formula>
    </cfRule>
  </conditionalFormatting>
  <conditionalFormatting sqref="M5:M34">
    <cfRule type="expression" dxfId="25" priority="46">
      <formula>NOT($N5="")</formula>
    </cfRule>
  </conditionalFormatting>
  <conditionalFormatting sqref="O5:O34">
    <cfRule type="notContainsBlanks" dxfId="24" priority="45">
      <formula>LEN(TRIM(O5))&gt;0</formula>
    </cfRule>
  </conditionalFormatting>
  <conditionalFormatting sqref="Q5:Q34">
    <cfRule type="expression" dxfId="23" priority="43">
      <formula>NOT($R5="")</formula>
    </cfRule>
  </conditionalFormatting>
  <conditionalFormatting sqref="S5:S34">
    <cfRule type="expression" dxfId="22" priority="40">
      <formula>NOT($T5="")</formula>
    </cfRule>
  </conditionalFormatting>
  <conditionalFormatting sqref="U5:U34">
    <cfRule type="expression" dxfId="21" priority="38">
      <formula>NOT($V5="")</formula>
    </cfRule>
  </conditionalFormatting>
  <conditionalFormatting sqref="W5:W34">
    <cfRule type="notContainsBlanks" dxfId="20" priority="37">
      <formula>LEN(TRIM(W5))&gt;0</formula>
    </cfRule>
  </conditionalFormatting>
  <conditionalFormatting sqref="Y5:Y34">
    <cfRule type="expression" dxfId="19" priority="30">
      <formula>NOT($Z5="")</formula>
    </cfRule>
  </conditionalFormatting>
  <conditionalFormatting sqref="AA5:AA34">
    <cfRule type="expression" dxfId="18" priority="28">
      <formula>NOT($AB5="")</formula>
    </cfRule>
  </conditionalFormatting>
  <conditionalFormatting sqref="AC5:AC34">
    <cfRule type="expression" dxfId="17" priority="26">
      <formula>NOT($AD5="")</formula>
    </cfRule>
  </conditionalFormatting>
  <conditionalFormatting sqref="AE5:AE34">
    <cfRule type="notContainsBlanks" dxfId="16" priority="36">
      <formula>LEN(TRIM(AE5))&gt;0</formula>
    </cfRule>
  </conditionalFormatting>
  <conditionalFormatting sqref="AG5:AG34">
    <cfRule type="expression" dxfId="15" priority="24">
      <formula>NOT($AH5="")</formula>
    </cfRule>
  </conditionalFormatting>
  <conditionalFormatting sqref="AI5:AI34">
    <cfRule type="expression" dxfId="14" priority="22">
      <formula>NOT($AJ5="")</formula>
    </cfRule>
  </conditionalFormatting>
  <conditionalFormatting sqref="AK5:AK34">
    <cfRule type="expression" dxfId="13" priority="19">
      <formula>NOT($AL5="")</formula>
    </cfRule>
  </conditionalFormatting>
  <conditionalFormatting sqref="AM5:AM34">
    <cfRule type="notContainsBlanks" dxfId="12" priority="35">
      <formula>LEN(TRIM(AM5))&gt;0</formula>
    </cfRule>
  </conditionalFormatting>
  <conditionalFormatting sqref="AO5:AO34">
    <cfRule type="expression" dxfId="11" priority="17">
      <formula>NOT($AP5="")</formula>
    </cfRule>
  </conditionalFormatting>
  <conditionalFormatting sqref="AQ5:AQ34">
    <cfRule type="expression" dxfId="10" priority="15">
      <formula>NOT($AR5="")</formula>
    </cfRule>
  </conditionalFormatting>
  <conditionalFormatting sqref="AS5:AS34">
    <cfRule type="expression" dxfId="9" priority="13">
      <formula>NOT($AT5="")</formula>
    </cfRule>
  </conditionalFormatting>
  <conditionalFormatting sqref="AU5:AU34">
    <cfRule type="notContainsBlanks" dxfId="8" priority="34">
      <formula>LEN(TRIM(AU5))&gt;0</formula>
    </cfRule>
  </conditionalFormatting>
  <conditionalFormatting sqref="AW5:AW34">
    <cfRule type="expression" dxfId="7" priority="11">
      <formula>NOT($AX5="")</formula>
    </cfRule>
  </conditionalFormatting>
  <conditionalFormatting sqref="AY5:AY34">
    <cfRule type="expression" dxfId="6" priority="9">
      <formula>NOT($AZ5="")</formula>
    </cfRule>
  </conditionalFormatting>
  <conditionalFormatting sqref="BA5:BA34">
    <cfRule type="expression" dxfId="5" priority="7">
      <formula>NOT($BB5="")</formula>
    </cfRule>
  </conditionalFormatting>
  <conditionalFormatting sqref="BC5:BC34">
    <cfRule type="notContainsBlanks" dxfId="4" priority="33">
      <formula>LEN(TRIM(BC5))&gt;0</formula>
    </cfRule>
  </conditionalFormatting>
  <conditionalFormatting sqref="BE5:BE34">
    <cfRule type="expression" dxfId="3" priority="5">
      <formula>NOT($BF5="")</formula>
    </cfRule>
  </conditionalFormatting>
  <conditionalFormatting sqref="BG5:BG34">
    <cfRule type="expression" dxfId="2" priority="3">
      <formula>NOT($BH5="")</formula>
    </cfRule>
  </conditionalFormatting>
  <conditionalFormatting sqref="BI5:BI34">
    <cfRule type="expression" dxfId="1" priority="1">
      <formula>NOT($BJ5="")</formula>
    </cfRule>
  </conditionalFormatting>
  <conditionalFormatting sqref="BK5:BK34">
    <cfRule type="notContainsBlanks" dxfId="0" priority="32">
      <formula>LEN(TRIM(BK5))&gt;0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使い方</vt:lpstr>
      <vt:lpstr>【令和8年度】大崎上島町国民健康保険税試算</vt:lpstr>
      <vt:lpstr>基礎情報</vt:lpstr>
      <vt:lpstr>軽減判定</vt:lpstr>
      <vt:lpstr>給与所得</vt:lpstr>
      <vt:lpstr>年金所得</vt:lpstr>
      <vt:lpstr>【令和8年度】大崎上島町国民健康保険税試算!Print_Area</vt:lpstr>
      <vt:lpstr>使い方!Print_Area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aaa</dc:creator>
  <cp:lastModifiedBy>望月 聖由</cp:lastModifiedBy>
  <cp:revision/>
  <cp:lastPrinted>2026-08-28T07:51:28Z</cp:lastPrinted>
  <dcterms:created xsi:type="dcterms:W3CDTF">2021-03-05T00:37:00Z</dcterms:created>
  <dcterms:modified xsi:type="dcterms:W3CDTF">2026-08-28T07:51:34Z</dcterms:modified>
</cp:coreProperties>
</file>