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税務課\4．国民健康保険税\06 税額試算\"/>
    </mc:Choice>
  </mc:AlternateContent>
  <xr:revisionPtr revIDLastSave="0" documentId="13_ncr:1_{712AFB14-9C5D-4BFC-A295-AFBE50E0D287}" xr6:coauthVersionLast="47" xr6:coauthVersionMax="47" xr10:uidLastSave="{00000000-0000-0000-0000-000000000000}"/>
  <bookViews>
    <workbookView xWindow="105" yWindow="240" windowWidth="24300" windowHeight="14955" xr2:uid="{00000000-000D-0000-FFFF-FFFF00000000}"/>
  </bookViews>
  <sheets>
    <sheet name="試算シート" sheetId="1" r:id="rId1"/>
    <sheet name="① 算定基礎データ" sheetId="2" r:id="rId2"/>
    <sheet name="② 計算シート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10" i="4" s="1"/>
  <c r="A10" i="4"/>
  <c r="A12" i="4"/>
  <c r="F18" i="4"/>
  <c r="F16" i="4"/>
  <c r="F14" i="4"/>
  <c r="F12" i="4"/>
  <c r="B1" i="4" l="1"/>
  <c r="B2" i="4"/>
  <c r="J18" i="4" l="1"/>
  <c r="I18" i="4"/>
  <c r="J16" i="4"/>
  <c r="J14" i="4"/>
  <c r="J12" i="4"/>
  <c r="J10" i="4"/>
  <c r="B4" i="4" l="1"/>
  <c r="E4" i="1"/>
  <c r="F6" i="4"/>
  <c r="F5" i="4"/>
  <c r="F4" i="4"/>
  <c r="F3" i="4"/>
  <c r="F2" i="4"/>
  <c r="D5" i="4"/>
  <c r="D4" i="4"/>
  <c r="D3" i="4"/>
  <c r="D2" i="4"/>
  <c r="F14" i="1" s="1"/>
  <c r="B6" i="4"/>
  <c r="D6" i="4"/>
  <c r="B22" i="4"/>
  <c r="B5" i="4"/>
  <c r="B3" i="4"/>
  <c r="D27" i="4" l="1"/>
  <c r="U3" i="2" l="1"/>
  <c r="G6" i="4" s="1"/>
  <c r="U2" i="2"/>
  <c r="E46" i="4"/>
  <c r="B25" i="4"/>
  <c r="B24" i="4"/>
  <c r="C22" i="4"/>
  <c r="L10" i="4" l="1"/>
  <c r="E13" i="2"/>
  <c r="B19" i="4" l="1"/>
  <c r="B18" i="4"/>
  <c r="C18" i="4" s="1"/>
  <c r="B17" i="4"/>
  <c r="B16" i="4"/>
  <c r="C16" i="4" s="1"/>
  <c r="B15" i="4"/>
  <c r="B14" i="4"/>
  <c r="B13" i="4"/>
  <c r="B12" i="4"/>
  <c r="B11" i="4"/>
  <c r="B10" i="4"/>
  <c r="A19" i="4"/>
  <c r="A18" i="4"/>
  <c r="A17" i="4"/>
  <c r="A16" i="4"/>
  <c r="A15" i="4"/>
  <c r="A14" i="4"/>
  <c r="A13" i="4"/>
  <c r="A11" i="4"/>
  <c r="E35" i="2"/>
  <c r="E34" i="2"/>
  <c r="E33" i="2"/>
  <c r="E27" i="2"/>
  <c r="E29" i="2"/>
  <c r="E28" i="2"/>
  <c r="E18" i="2"/>
  <c r="E19" i="2"/>
  <c r="E20" i="2"/>
  <c r="E21" i="2"/>
  <c r="E17" i="2"/>
  <c r="E16" i="2"/>
  <c r="E15" i="2"/>
  <c r="E14" i="2"/>
  <c r="G18" i="4" l="1"/>
  <c r="D18" i="4"/>
  <c r="E18" i="4" s="1"/>
  <c r="H18" i="4" s="1"/>
  <c r="C10" i="4"/>
  <c r="C12" i="4"/>
  <c r="D16" i="4"/>
  <c r="E16" i="4" s="1"/>
  <c r="H16" i="4" s="1"/>
  <c r="G16" i="4"/>
  <c r="I16" i="4" s="1"/>
  <c r="C14" i="4"/>
  <c r="F4" i="1"/>
  <c r="G12" i="4" l="1"/>
  <c r="I12" i="4" s="1"/>
  <c r="D12" i="4"/>
  <c r="E12" i="4" s="1"/>
  <c r="H12" i="4" s="1"/>
  <c r="G10" i="4"/>
  <c r="I10" i="4" s="1"/>
  <c r="K10" i="4" s="1"/>
  <c r="D10" i="4"/>
  <c r="E10" i="4" s="1"/>
  <c r="H10" i="4" s="1"/>
  <c r="D14" i="4"/>
  <c r="E14" i="4" s="1"/>
  <c r="H14" i="4" s="1"/>
  <c r="G14" i="4"/>
  <c r="I14" i="4" s="1"/>
  <c r="E50" i="4"/>
  <c r="E49" i="4"/>
  <c r="E48" i="4"/>
  <c r="E47" i="4"/>
  <c r="E42" i="4"/>
  <c r="E41" i="4"/>
  <c r="E40" i="4"/>
  <c r="E39" i="4"/>
  <c r="E38" i="4"/>
  <c r="E34" i="4"/>
  <c r="E33" i="4"/>
  <c r="E32" i="4"/>
  <c r="E31" i="4"/>
  <c r="E30" i="4"/>
  <c r="C23" i="4"/>
  <c r="C24" i="4"/>
  <c r="C25" i="4"/>
  <c r="C26" i="4"/>
  <c r="B26" i="4"/>
  <c r="B23" i="4"/>
  <c r="H20" i="4" l="1"/>
  <c r="L18" i="4"/>
  <c r="K18" i="4"/>
  <c r="L16" i="4"/>
  <c r="K16" i="4"/>
  <c r="L14" i="4"/>
  <c r="K14" i="4"/>
  <c r="L12" i="4"/>
  <c r="K12" i="4"/>
  <c r="A30" i="4"/>
  <c r="B49" i="4"/>
  <c r="B50" i="4"/>
  <c r="B48" i="4"/>
  <c r="J20" i="4"/>
  <c r="C27" i="4"/>
  <c r="B27" i="4"/>
  <c r="F1" i="4" s="1"/>
  <c r="W3" i="2" l="1"/>
  <c r="I6" i="4" s="1"/>
  <c r="V2" i="2"/>
  <c r="W2" i="2"/>
  <c r="V3" i="2"/>
  <c r="H6" i="4" s="1"/>
  <c r="H16" i="1"/>
  <c r="A46" i="4"/>
  <c r="E15" i="1"/>
  <c r="C16" i="1"/>
  <c r="L20" i="4"/>
  <c r="H15" i="1"/>
  <c r="B15" i="1"/>
  <c r="C15" i="1"/>
  <c r="B47" i="4"/>
  <c r="I15" i="1"/>
  <c r="F16" i="1"/>
  <c r="I14" i="1"/>
  <c r="G29" i="4" l="1"/>
  <c r="I16" i="1"/>
  <c r="D46" i="4"/>
  <c r="D30" i="4"/>
  <c r="C14" i="1"/>
  <c r="D48" i="4"/>
  <c r="F15" i="1"/>
  <c r="C42" i="4"/>
  <c r="D32" i="4"/>
  <c r="D33" i="4"/>
  <c r="D31" i="4"/>
  <c r="D34" i="4"/>
  <c r="B46" i="4"/>
  <c r="B40" i="4"/>
  <c r="B38" i="4"/>
  <c r="B41" i="4"/>
  <c r="B39" i="4"/>
  <c r="B42" i="4"/>
  <c r="B33" i="4"/>
  <c r="B32" i="4"/>
  <c r="B34" i="4"/>
  <c r="B31" i="4"/>
  <c r="B30" i="4"/>
  <c r="A31" i="4"/>
  <c r="A38" i="4"/>
  <c r="D39" i="4"/>
  <c r="D42" i="4"/>
  <c r="D40" i="4"/>
  <c r="C39" i="4"/>
  <c r="C38" i="4"/>
  <c r="C40" i="4"/>
  <c r="C41" i="4"/>
  <c r="D38" i="4"/>
  <c r="D49" i="4"/>
  <c r="D47" i="4"/>
  <c r="D50" i="4"/>
  <c r="C49" i="4"/>
  <c r="C46" i="4"/>
  <c r="C48" i="4"/>
  <c r="C47" i="4"/>
  <c r="C50" i="4"/>
  <c r="C34" i="4"/>
  <c r="C30" i="4"/>
  <c r="C31" i="4"/>
  <c r="C32" i="4"/>
  <c r="C33" i="4"/>
  <c r="D41" i="4"/>
  <c r="A32" i="4" l="1"/>
  <c r="A48" i="4"/>
  <c r="B43" i="4"/>
  <c r="D35" i="4"/>
  <c r="D16" i="1" s="1"/>
  <c r="A47" i="4"/>
  <c r="A39" i="4"/>
  <c r="A40" i="4"/>
  <c r="D51" i="4"/>
  <c r="J16" i="1" s="1"/>
  <c r="B51" i="4"/>
  <c r="D43" i="4"/>
  <c r="G16" i="1" s="1"/>
  <c r="C43" i="4"/>
  <c r="G15" i="1" s="1"/>
  <c r="C51" i="4"/>
  <c r="J15" i="1" s="1"/>
  <c r="C35" i="4"/>
  <c r="D15" i="1" s="1"/>
  <c r="B35" i="4"/>
  <c r="A50" i="4" l="1"/>
  <c r="G31" i="4" l="1"/>
  <c r="C18" i="1"/>
  <c r="G39" i="4"/>
  <c r="F19" i="1" s="1"/>
  <c r="A42" i="4"/>
  <c r="A34" i="4"/>
  <c r="A33" i="4"/>
  <c r="K20" i="4"/>
  <c r="H14" i="1" s="1"/>
  <c r="A49" i="4"/>
  <c r="A51" i="4" s="1"/>
  <c r="I20" i="4"/>
  <c r="B14" i="1" s="1"/>
  <c r="A41" i="4"/>
  <c r="I18" i="1" l="1"/>
  <c r="G33" i="4"/>
  <c r="C20" i="1" s="1"/>
  <c r="G47" i="4"/>
  <c r="I19" i="1" s="1"/>
  <c r="G49" i="4"/>
  <c r="I20" i="1" s="1"/>
  <c r="G41" i="4"/>
  <c r="F20" i="1" s="1"/>
  <c r="F21" i="1" s="1"/>
  <c r="F18" i="1"/>
  <c r="C19" i="1"/>
  <c r="A35" i="4"/>
  <c r="E35" i="4" s="1"/>
  <c r="A43" i="4"/>
  <c r="F43" i="4" s="1"/>
  <c r="J14" i="1"/>
  <c r="F51" i="4"/>
  <c r="E51" i="4"/>
  <c r="G51" i="4" s="1"/>
  <c r="I17" i="1" s="1"/>
  <c r="E14" i="1"/>
  <c r="I21" i="1" l="1"/>
  <c r="G35" i="4"/>
  <c r="F35" i="4"/>
  <c r="C21" i="1"/>
  <c r="D14" i="1"/>
  <c r="G14" i="1"/>
  <c r="E43" i="4"/>
  <c r="G43" i="4" s="1"/>
  <c r="F17" i="1" s="1"/>
  <c r="E17" i="1" s="1"/>
  <c r="H51" i="4"/>
  <c r="H17" i="1"/>
  <c r="C17" i="1" l="1"/>
  <c r="B17" i="1" s="1"/>
  <c r="H35" i="4"/>
  <c r="H43" i="4"/>
  <c r="H22" i="1"/>
  <c r="H23" i="1" s="1"/>
  <c r="E22" i="1"/>
  <c r="E23" i="1" s="1"/>
  <c r="B22" i="1" l="1"/>
  <c r="B23" i="1" s="1"/>
  <c r="C25" i="1" s="1"/>
  <c r="E29" i="1" s="1"/>
  <c r="G29" i="1" l="1"/>
  <c r="H29" i="1"/>
  <c r="D29" i="1"/>
  <c r="F29" i="1"/>
  <c r="I29" i="1"/>
  <c r="C29" i="1"/>
  <c r="B29" i="1" l="1"/>
</calcChain>
</file>

<file path=xl/sharedStrings.xml><?xml version="1.0" encoding="utf-8"?>
<sst xmlns="http://schemas.openxmlformats.org/spreadsheetml/2006/main" count="249" uniqueCount="182">
  <si>
    <t>世帯主</t>
    <rPh sb="0" eb="3">
      <t>セタイヌシ</t>
    </rPh>
    <phoneticPr fontId="2"/>
  </si>
  <si>
    <t>世帯員１</t>
    <rPh sb="0" eb="3">
      <t>セタイイン</t>
    </rPh>
    <phoneticPr fontId="2"/>
  </si>
  <si>
    <t>世帯員２</t>
    <rPh sb="0" eb="3">
      <t>セタイイン</t>
    </rPh>
    <phoneticPr fontId="2"/>
  </si>
  <si>
    <t>世帯員３</t>
    <rPh sb="0" eb="3">
      <t>セタイイン</t>
    </rPh>
    <phoneticPr fontId="2"/>
  </si>
  <si>
    <t>世帯員４</t>
    <rPh sb="0" eb="3">
      <t>セタイイン</t>
    </rPh>
    <phoneticPr fontId="2"/>
  </si>
  <si>
    <t>給与収入</t>
    <rPh sb="0" eb="2">
      <t>キュウヨ</t>
    </rPh>
    <rPh sb="2" eb="4">
      <t>シュウニュウ</t>
    </rPh>
    <phoneticPr fontId="2"/>
  </si>
  <si>
    <t>年度</t>
    <rPh sb="0" eb="2">
      <t>ネンド</t>
    </rPh>
    <phoneticPr fontId="4"/>
  </si>
  <si>
    <t>医所得</t>
    <rPh sb="0" eb="1">
      <t>イ</t>
    </rPh>
    <rPh sb="1" eb="3">
      <t>ショトク</t>
    </rPh>
    <phoneticPr fontId="4"/>
  </si>
  <si>
    <t>医資産</t>
    <rPh sb="0" eb="1">
      <t>イ</t>
    </rPh>
    <rPh sb="1" eb="3">
      <t>シサン</t>
    </rPh>
    <phoneticPr fontId="4"/>
  </si>
  <si>
    <t>医均等</t>
    <rPh sb="0" eb="1">
      <t>イ</t>
    </rPh>
    <rPh sb="1" eb="3">
      <t>キントウ</t>
    </rPh>
    <phoneticPr fontId="4"/>
  </si>
  <si>
    <t>医平等</t>
    <rPh sb="0" eb="1">
      <t>イ</t>
    </rPh>
    <rPh sb="1" eb="3">
      <t>ビョウドウ</t>
    </rPh>
    <phoneticPr fontId="4"/>
  </si>
  <si>
    <t>後所得</t>
    <rPh sb="0" eb="1">
      <t>アト</t>
    </rPh>
    <rPh sb="1" eb="3">
      <t>ショトク</t>
    </rPh>
    <phoneticPr fontId="4"/>
  </si>
  <si>
    <t>後資産</t>
    <rPh sb="0" eb="1">
      <t>アト</t>
    </rPh>
    <rPh sb="1" eb="3">
      <t>シサン</t>
    </rPh>
    <phoneticPr fontId="4"/>
  </si>
  <si>
    <t>後均等</t>
    <rPh sb="0" eb="1">
      <t>アト</t>
    </rPh>
    <rPh sb="1" eb="3">
      <t>キントウ</t>
    </rPh>
    <phoneticPr fontId="4"/>
  </si>
  <si>
    <t>後平等</t>
    <rPh sb="0" eb="1">
      <t>アト</t>
    </rPh>
    <rPh sb="1" eb="3">
      <t>ビョウドウ</t>
    </rPh>
    <phoneticPr fontId="4"/>
  </si>
  <si>
    <t>介所得</t>
    <rPh sb="0" eb="1">
      <t>スケ</t>
    </rPh>
    <rPh sb="1" eb="3">
      <t>ショトク</t>
    </rPh>
    <phoneticPr fontId="4"/>
  </si>
  <si>
    <t>介資産</t>
    <rPh sb="0" eb="1">
      <t>スケ</t>
    </rPh>
    <rPh sb="1" eb="3">
      <t>シサン</t>
    </rPh>
    <phoneticPr fontId="4"/>
  </si>
  <si>
    <t>介均等</t>
    <rPh sb="0" eb="1">
      <t>スケ</t>
    </rPh>
    <rPh sb="1" eb="3">
      <t>キントウ</t>
    </rPh>
    <phoneticPr fontId="4"/>
  </si>
  <si>
    <t>介平等</t>
    <rPh sb="0" eb="1">
      <t>スケ</t>
    </rPh>
    <rPh sb="1" eb="3">
      <t>ビョウドウ</t>
    </rPh>
    <phoneticPr fontId="4"/>
  </si>
  <si>
    <t>医限度</t>
    <rPh sb="0" eb="1">
      <t>イ</t>
    </rPh>
    <rPh sb="1" eb="3">
      <t>ゲンド</t>
    </rPh>
    <phoneticPr fontId="4"/>
  </si>
  <si>
    <t>後限度</t>
    <rPh sb="0" eb="1">
      <t>アト</t>
    </rPh>
    <rPh sb="1" eb="3">
      <t>ゲンド</t>
    </rPh>
    <phoneticPr fontId="4"/>
  </si>
  <si>
    <t>介限度</t>
    <rPh sb="0" eb="1">
      <t>スケ</t>
    </rPh>
    <rPh sb="1" eb="3">
      <t>ゲンド</t>
    </rPh>
    <phoneticPr fontId="4"/>
  </si>
  <si>
    <t>月数</t>
    <rPh sb="0" eb="2">
      <t>ツキスウ</t>
    </rPh>
    <phoneticPr fontId="4"/>
  </si>
  <si>
    <t>年齢</t>
    <rPh sb="0" eb="2">
      <t>ネンレイ</t>
    </rPh>
    <phoneticPr fontId="4"/>
  </si>
  <si>
    <t>加入しない</t>
    <rPh sb="0" eb="2">
      <t>カニュウ</t>
    </rPh>
    <phoneticPr fontId="4"/>
  </si>
  <si>
    <t>（注意事項）</t>
    <rPh sb="1" eb="3">
      <t>チュウイ</t>
    </rPh>
    <rPh sb="3" eb="5">
      <t>ジコウ</t>
    </rPh>
    <phoneticPr fontId="2"/>
  </si>
  <si>
    <t>１年間の保険税額</t>
    <rPh sb="1" eb="3">
      <t>ネンカン</t>
    </rPh>
    <rPh sb="4" eb="6">
      <t>ホケン</t>
    </rPh>
    <rPh sb="6" eb="7">
      <t>ゼイ</t>
    </rPh>
    <rPh sb="7" eb="8">
      <t>ガク</t>
    </rPh>
    <phoneticPr fontId="2"/>
  </si>
  <si>
    <t>1期</t>
    <rPh sb="1" eb="2">
      <t>キ</t>
    </rPh>
    <phoneticPr fontId="2"/>
  </si>
  <si>
    <t>2期</t>
    <rPh sb="1" eb="2">
      <t>キ</t>
    </rPh>
    <phoneticPr fontId="2"/>
  </si>
  <si>
    <t>3期</t>
    <rPh sb="1" eb="2">
      <t>キ</t>
    </rPh>
    <phoneticPr fontId="2"/>
  </si>
  <si>
    <t>4期</t>
    <rPh sb="1" eb="2">
      <t>キ</t>
    </rPh>
    <phoneticPr fontId="2"/>
  </si>
  <si>
    <t>5期</t>
    <rPh sb="1" eb="2">
      <t>キ</t>
    </rPh>
    <phoneticPr fontId="2"/>
  </si>
  <si>
    <t>6期</t>
    <rPh sb="1" eb="2">
      <t>キ</t>
    </rPh>
    <phoneticPr fontId="2"/>
  </si>
  <si>
    <t>7期</t>
    <rPh sb="1" eb="2">
      <t>キ</t>
    </rPh>
    <phoneticPr fontId="2"/>
  </si>
  <si>
    <t>8期</t>
    <rPh sb="1" eb="2">
      <t>キ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</si>
  <si>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</si>
  <si>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</si>
  <si>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</si>
  <si>
    <t>10月</t>
  </si>
  <si>
    <t>11月</t>
  </si>
  <si>
    <t>12月</t>
  </si>
  <si>
    <t>1月</t>
  </si>
  <si>
    <t>2月</t>
  </si>
  <si>
    <t>医療分</t>
    <rPh sb="0" eb="2">
      <t>イリョウ</t>
    </rPh>
    <rPh sb="2" eb="3">
      <t>ブン</t>
    </rPh>
    <phoneticPr fontId="2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</si>
  <si>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2"/>
  </si>
  <si>
    <t>介護納付金分</t>
    <rPh sb="0" eb="2">
      <t>カイゴ</t>
    </rPh>
    <rPh sb="2" eb="5">
      <t>ノウフキン</t>
    </rPh>
    <rPh sb="5" eb="6">
      <t>ブン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</si>
  <si>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</si>
  <si>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均等割額</t>
    <rPh sb="0" eb="3">
      <t>キントウワリ</t>
    </rPh>
    <rPh sb="3" eb="4">
      <t>ガク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</si>
  <si>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</si>
  <si>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税額</t>
    <rPh sb="0" eb="1">
      <t>ゼイ</t>
    </rPh>
    <rPh sb="1" eb="2">
      <t>ガク</t>
    </rPh>
    <phoneticPr fontId="2"/>
  </si>
  <si>
    <t>税率等</t>
    <rPh sb="0" eb="2">
      <t>ゼイリツ</t>
    </rPh>
    <rPh sb="2" eb="3">
      <t>ナド</t>
    </rPh>
    <phoneticPr fontId="2"/>
  </si>
  <si>
    <t>合計</t>
    <rPh sb="0" eb="2">
      <t>ゴウケイ</t>
    </rPh>
    <phoneticPr fontId="2"/>
  </si>
  <si>
    <t>軽減区分</t>
    <rPh sb="0" eb="2">
      <t>ケイゲン</t>
    </rPh>
    <rPh sb="2" eb="4">
      <t>クブン</t>
    </rPh>
    <phoneticPr fontId="2"/>
  </si>
  <si>
    <t>軽減額計</t>
    <rPh sb="0" eb="2">
      <t>ケイゲン</t>
    </rPh>
    <rPh sb="2" eb="3">
      <t>ガク</t>
    </rPh>
    <rPh sb="3" eb="4">
      <t>ケイ</t>
    </rPh>
    <phoneticPr fontId="2"/>
  </si>
  <si>
    <t>軽減額</t>
    <rPh sb="0" eb="2">
      <t>ケイゲン</t>
    </rPh>
    <rPh sb="2" eb="3">
      <t>ガク</t>
    </rPh>
    <phoneticPr fontId="2"/>
  </si>
  <si>
    <t>課税標準</t>
    <rPh sb="0" eb="2">
      <t>カゼイ</t>
    </rPh>
    <rPh sb="2" eb="4">
      <t>ヒョウジュン</t>
    </rPh>
    <phoneticPr fontId="2"/>
  </si>
  <si>
    <t>該当年度</t>
    <rPh sb="0" eb="2">
      <t>ガイトウ</t>
    </rPh>
    <rPh sb="2" eb="4">
      <t>ネンド</t>
    </rPh>
    <phoneticPr fontId="2"/>
  </si>
  <si>
    <t>医療所得割額</t>
    <rPh sb="0" eb="2">
      <t>イリョウ</t>
    </rPh>
    <rPh sb="2" eb="4">
      <t>ショトク</t>
    </rPh>
    <rPh sb="4" eb="5">
      <t>ワリ</t>
    </rPh>
    <rPh sb="5" eb="6">
      <t>ガク</t>
    </rPh>
    <phoneticPr fontId="2"/>
  </si>
  <si>
    <t>医療資産割額</t>
    <rPh sb="0" eb="2">
      <t>イリョウ</t>
    </rPh>
    <rPh sb="2" eb="4">
      <t>シサン</t>
    </rPh>
    <rPh sb="4" eb="5">
      <t>ワリ</t>
    </rPh>
    <rPh sb="5" eb="6">
      <t>ガク</t>
    </rPh>
    <phoneticPr fontId="2"/>
  </si>
  <si>
    <t>医療均等割額</t>
    <rPh sb="0" eb="2">
      <t>イリョウ</t>
    </rPh>
    <rPh sb="2" eb="5">
      <t>キントウワリ</t>
    </rPh>
    <rPh sb="5" eb="6">
      <t>ガク</t>
    </rPh>
    <phoneticPr fontId="2"/>
  </si>
  <si>
    <t>医療平等割額</t>
    <rPh sb="0" eb="2">
      <t>イリョウ</t>
    </rPh>
    <rPh sb="2" eb="4">
      <t>ビョウドウ</t>
    </rPh>
    <rPh sb="4" eb="5">
      <t>ワリ</t>
    </rPh>
    <rPh sb="5" eb="6">
      <t>ガク</t>
    </rPh>
    <phoneticPr fontId="2"/>
  </si>
  <si>
    <t>支援所得割額</t>
    <rPh sb="0" eb="2">
      <t>シエン</t>
    </rPh>
    <rPh sb="2" eb="4">
      <t>ショトク</t>
    </rPh>
    <rPh sb="4" eb="5">
      <t>ワリ</t>
    </rPh>
    <rPh sb="5" eb="6">
      <t>ガク</t>
    </rPh>
    <phoneticPr fontId="2"/>
  </si>
  <si>
    <t>支援資産割額</t>
    <rPh sb="0" eb="2">
      <t>シエン</t>
    </rPh>
    <rPh sb="2" eb="4">
      <t>シサン</t>
    </rPh>
    <rPh sb="4" eb="5">
      <t>ワリ</t>
    </rPh>
    <rPh sb="5" eb="6">
      <t>ガク</t>
    </rPh>
    <phoneticPr fontId="2"/>
  </si>
  <si>
    <t>支援均等割額</t>
    <rPh sb="0" eb="2">
      <t>シエン</t>
    </rPh>
    <rPh sb="2" eb="5">
      <t>キントウワリ</t>
    </rPh>
    <rPh sb="5" eb="6">
      <t>ガク</t>
    </rPh>
    <phoneticPr fontId="2"/>
  </si>
  <si>
    <t>支援平等割額</t>
    <rPh sb="0" eb="2">
      <t>シエン</t>
    </rPh>
    <rPh sb="2" eb="4">
      <t>ビョウドウ</t>
    </rPh>
    <rPh sb="4" eb="5">
      <t>ワリ</t>
    </rPh>
    <rPh sb="5" eb="6">
      <t>ガク</t>
    </rPh>
    <phoneticPr fontId="2"/>
  </si>
  <si>
    <t>後期高齢者支援分</t>
    <rPh sb="0" eb="2">
      <t>コウキ</t>
    </rPh>
    <rPh sb="2" eb="5">
      <t>コウレイシャ</t>
    </rPh>
    <rPh sb="5" eb="7">
      <t>シエン</t>
    </rPh>
    <rPh sb="7" eb="8">
      <t>ブン</t>
    </rPh>
    <phoneticPr fontId="2"/>
  </si>
  <si>
    <t>介護所得割額</t>
    <rPh sb="0" eb="2">
      <t>カイゴ</t>
    </rPh>
    <rPh sb="2" eb="4">
      <t>ショトク</t>
    </rPh>
    <rPh sb="4" eb="5">
      <t>ワリ</t>
    </rPh>
    <rPh sb="5" eb="6">
      <t>ガク</t>
    </rPh>
    <phoneticPr fontId="2"/>
  </si>
  <si>
    <t>介護資産割額</t>
    <rPh sb="0" eb="2">
      <t>カイゴ</t>
    </rPh>
    <rPh sb="2" eb="4">
      <t>シサン</t>
    </rPh>
    <rPh sb="4" eb="5">
      <t>ワリ</t>
    </rPh>
    <rPh sb="5" eb="6">
      <t>ガク</t>
    </rPh>
    <phoneticPr fontId="2"/>
  </si>
  <si>
    <t>介護均等割額</t>
    <rPh sb="0" eb="2">
      <t>カイゴ</t>
    </rPh>
    <rPh sb="2" eb="5">
      <t>キントウワリ</t>
    </rPh>
    <rPh sb="5" eb="6">
      <t>ガク</t>
    </rPh>
    <phoneticPr fontId="2"/>
  </si>
  <si>
    <t>介護平等割額</t>
    <rPh sb="0" eb="2">
      <t>カイゴ</t>
    </rPh>
    <rPh sb="2" eb="4">
      <t>ビョウドウ</t>
    </rPh>
    <rPh sb="4" eb="5">
      <t>ワリ</t>
    </rPh>
    <rPh sb="5" eb="6">
      <t>ガク</t>
    </rPh>
    <phoneticPr fontId="2"/>
  </si>
  <si>
    <t>医療所得割額</t>
    <rPh sb="0" eb="2">
      <t>イリョウ</t>
    </rPh>
    <rPh sb="2" eb="4">
      <t>ショトク</t>
    </rPh>
    <rPh sb="4" eb="5">
      <t>ワリ</t>
    </rPh>
    <rPh sb="5" eb="6">
      <t>ガク</t>
    </rPh>
    <phoneticPr fontId="4"/>
  </si>
  <si>
    <t>医療資産割額</t>
    <rPh sb="0" eb="2">
      <t>イリョウ</t>
    </rPh>
    <rPh sb="2" eb="4">
      <t>シサン</t>
    </rPh>
    <rPh sb="4" eb="5">
      <t>ワリ</t>
    </rPh>
    <rPh sb="5" eb="6">
      <t>ガク</t>
    </rPh>
    <phoneticPr fontId="4"/>
  </si>
  <si>
    <t>医療均等割額</t>
    <rPh sb="0" eb="2">
      <t>イリョウ</t>
    </rPh>
    <rPh sb="2" eb="5">
      <t>キントウワリ</t>
    </rPh>
    <rPh sb="5" eb="6">
      <t>ガク</t>
    </rPh>
    <phoneticPr fontId="4"/>
  </si>
  <si>
    <t>医療平等割額</t>
    <rPh sb="0" eb="2">
      <t>イリョウ</t>
    </rPh>
    <rPh sb="2" eb="4">
      <t>ビョウドウ</t>
    </rPh>
    <rPh sb="4" eb="5">
      <t>ワリ</t>
    </rPh>
    <rPh sb="5" eb="6">
      <t>ガク</t>
    </rPh>
    <phoneticPr fontId="4"/>
  </si>
  <si>
    <t>医療加入月数</t>
    <rPh sb="0" eb="2">
      <t>イリョウ</t>
    </rPh>
    <rPh sb="2" eb="4">
      <t>カニュウ</t>
    </rPh>
    <rPh sb="4" eb="5">
      <t>ツキ</t>
    </rPh>
    <rPh sb="5" eb="6">
      <t>スウ</t>
    </rPh>
    <phoneticPr fontId="4"/>
  </si>
  <si>
    <t>給与所得</t>
    <rPh sb="0" eb="2">
      <t>キュウヨ</t>
    </rPh>
    <rPh sb="2" eb="4">
      <t>ショトク</t>
    </rPh>
    <phoneticPr fontId="2"/>
  </si>
  <si>
    <t>年金所得</t>
    <rPh sb="0" eb="2">
      <t>ネンキン</t>
    </rPh>
    <rPh sb="2" eb="4">
      <t>ショトク</t>
    </rPh>
    <phoneticPr fontId="2"/>
  </si>
  <si>
    <t>その他所得</t>
    <rPh sb="2" eb="3">
      <t>タ</t>
    </rPh>
    <rPh sb="3" eb="5">
      <t>ショトク</t>
    </rPh>
    <phoneticPr fontId="2"/>
  </si>
  <si>
    <t>固定資産税</t>
    <rPh sb="0" eb="2">
      <t>コテイ</t>
    </rPh>
    <rPh sb="2" eb="5">
      <t>シサンゼイ</t>
    </rPh>
    <phoneticPr fontId="2"/>
  </si>
  <si>
    <t>介護判定</t>
    <rPh sb="0" eb="2">
      <t>カイゴ</t>
    </rPh>
    <rPh sb="2" eb="4">
      <t>ハンテイ</t>
    </rPh>
    <phoneticPr fontId="2"/>
  </si>
  <si>
    <t>資格区分</t>
    <rPh sb="0" eb="2">
      <t>シカク</t>
    </rPh>
    <rPh sb="2" eb="4">
      <t>クブン</t>
    </rPh>
    <phoneticPr fontId="2"/>
  </si>
  <si>
    <t>加入人数計算</t>
    <rPh sb="0" eb="2">
      <t>カニュウ</t>
    </rPh>
    <rPh sb="2" eb="4">
      <t>ニンズウ</t>
    </rPh>
    <rPh sb="4" eb="6">
      <t>ケイサン</t>
    </rPh>
    <phoneticPr fontId="2"/>
  </si>
  <si>
    <t>加入区分</t>
    <rPh sb="0" eb="2">
      <t>カニュウ</t>
    </rPh>
    <rPh sb="2" eb="4">
      <t>クブン</t>
    </rPh>
    <phoneticPr fontId="2"/>
  </si>
  <si>
    <t>総所得金額</t>
    <rPh sb="0" eb="3">
      <t>ソウショトク</t>
    </rPh>
    <rPh sb="3" eb="5">
      <t>キンガク</t>
    </rPh>
    <phoneticPr fontId="2"/>
  </si>
  <si>
    <t>支援所得割額</t>
    <rPh sb="0" eb="2">
      <t>シエン</t>
    </rPh>
    <rPh sb="2" eb="4">
      <t>ショトク</t>
    </rPh>
    <rPh sb="4" eb="5">
      <t>ワリ</t>
    </rPh>
    <rPh sb="5" eb="6">
      <t>ガク</t>
    </rPh>
    <phoneticPr fontId="4"/>
  </si>
  <si>
    <t>支援資産割額</t>
    <rPh sb="0" eb="2">
      <t>シエン</t>
    </rPh>
    <rPh sb="2" eb="4">
      <t>シサン</t>
    </rPh>
    <rPh sb="4" eb="5">
      <t>ワリ</t>
    </rPh>
    <rPh sb="5" eb="6">
      <t>ガク</t>
    </rPh>
    <phoneticPr fontId="4"/>
  </si>
  <si>
    <t>支援均等割額</t>
    <rPh sb="0" eb="2">
      <t>シエン</t>
    </rPh>
    <rPh sb="2" eb="5">
      <t>キントウワリ</t>
    </rPh>
    <rPh sb="5" eb="6">
      <t>ガク</t>
    </rPh>
    <phoneticPr fontId="4"/>
  </si>
  <si>
    <t>支援平等割額</t>
    <rPh sb="0" eb="2">
      <t>シエン</t>
    </rPh>
    <rPh sb="2" eb="4">
      <t>ビョウドウ</t>
    </rPh>
    <rPh sb="4" eb="5">
      <t>ワリ</t>
    </rPh>
    <rPh sb="5" eb="6">
      <t>ガク</t>
    </rPh>
    <phoneticPr fontId="4"/>
  </si>
  <si>
    <t>支援加入月数</t>
    <rPh sb="0" eb="2">
      <t>シエン</t>
    </rPh>
    <rPh sb="2" eb="4">
      <t>カニュウ</t>
    </rPh>
    <rPh sb="4" eb="5">
      <t>ツキ</t>
    </rPh>
    <rPh sb="5" eb="6">
      <t>スウ</t>
    </rPh>
    <phoneticPr fontId="4"/>
  </si>
  <si>
    <t>介護所得割額</t>
    <rPh sb="0" eb="2">
      <t>カイゴ</t>
    </rPh>
    <rPh sb="2" eb="4">
      <t>ショトク</t>
    </rPh>
    <rPh sb="4" eb="5">
      <t>ワリ</t>
    </rPh>
    <rPh sb="5" eb="6">
      <t>ガク</t>
    </rPh>
    <phoneticPr fontId="4"/>
  </si>
  <si>
    <t>介護資産割額</t>
    <rPh sb="0" eb="2">
      <t>カイゴ</t>
    </rPh>
    <rPh sb="2" eb="4">
      <t>シサン</t>
    </rPh>
    <rPh sb="4" eb="5">
      <t>ワリ</t>
    </rPh>
    <rPh sb="5" eb="6">
      <t>ガク</t>
    </rPh>
    <phoneticPr fontId="4"/>
  </si>
  <si>
    <t>介護均等割額</t>
    <rPh sb="0" eb="2">
      <t>カイゴ</t>
    </rPh>
    <rPh sb="2" eb="5">
      <t>キントウワリ</t>
    </rPh>
    <rPh sb="5" eb="6">
      <t>ガク</t>
    </rPh>
    <phoneticPr fontId="4"/>
  </si>
  <si>
    <t>介護平等割額</t>
    <rPh sb="0" eb="2">
      <t>カイゴ</t>
    </rPh>
    <rPh sb="2" eb="4">
      <t>ビョウドウ</t>
    </rPh>
    <rPh sb="4" eb="5">
      <t>ワリ</t>
    </rPh>
    <rPh sb="5" eb="6">
      <t>ガク</t>
    </rPh>
    <phoneticPr fontId="4"/>
  </si>
  <si>
    <t>介護加入月数</t>
    <rPh sb="0" eb="2">
      <t>カイゴ</t>
    </rPh>
    <rPh sb="2" eb="4">
      <t>カニュウ</t>
    </rPh>
    <rPh sb="4" eb="5">
      <t>ツキ</t>
    </rPh>
    <rPh sb="5" eb="6">
      <t>スウ</t>
    </rPh>
    <phoneticPr fontId="4"/>
  </si>
  <si>
    <t>軽減判定所得額</t>
    <rPh sb="0" eb="2">
      <t>ケイゲン</t>
    </rPh>
    <rPh sb="2" eb="4">
      <t>ハンテイ</t>
    </rPh>
    <rPh sb="4" eb="6">
      <t>ショトク</t>
    </rPh>
    <rPh sb="6" eb="7">
      <t>ガク</t>
    </rPh>
    <phoneticPr fontId="2"/>
  </si>
  <si>
    <t>基準所得額</t>
    <rPh sb="0" eb="2">
      <t>キジュン</t>
    </rPh>
    <rPh sb="2" eb="4">
      <t>ショトク</t>
    </rPh>
    <rPh sb="4" eb="5">
      <t>ガク</t>
    </rPh>
    <phoneticPr fontId="2"/>
  </si>
  <si>
    <t>年金所得合計</t>
    <rPh sb="0" eb="2">
      <t>ネンキン</t>
    </rPh>
    <rPh sb="2" eb="4">
      <t>ショトク</t>
    </rPh>
    <rPh sb="4" eb="6">
      <t>ゴウケイ</t>
    </rPh>
    <phoneticPr fontId="2"/>
  </si>
  <si>
    <t>軽減判定用年金所得</t>
    <rPh sb="0" eb="2">
      <t>ケイゲン</t>
    </rPh>
    <rPh sb="2" eb="5">
      <t>ハンテイヨウ</t>
    </rPh>
    <rPh sb="5" eb="7">
      <t>ネンキン</t>
    </rPh>
    <rPh sb="7" eb="9">
      <t>ショトク</t>
    </rPh>
    <phoneticPr fontId="2"/>
  </si>
  <si>
    <t>軽減判定区分</t>
    <rPh sb="0" eb="2">
      <t>ケイゲン</t>
    </rPh>
    <rPh sb="2" eb="4">
      <t>ハンテイ</t>
    </rPh>
    <rPh sb="4" eb="6">
      <t>クブン</t>
    </rPh>
    <phoneticPr fontId="2"/>
  </si>
  <si>
    <t>軽減均等割</t>
    <rPh sb="0" eb="2">
      <t>ケイゲン</t>
    </rPh>
    <rPh sb="2" eb="5">
      <t>キントウワリ</t>
    </rPh>
    <phoneticPr fontId="2"/>
  </si>
  <si>
    <t>軽減平等割</t>
    <rPh sb="0" eb="2">
      <t>ケイゲン</t>
    </rPh>
    <rPh sb="2" eb="4">
      <t>ビョウドウ</t>
    </rPh>
    <rPh sb="4" eb="5">
      <t>ワリ</t>
    </rPh>
    <phoneticPr fontId="2"/>
  </si>
  <si>
    <t>（端数又は限度超過額）</t>
    <rPh sb="1" eb="3">
      <t>ハスウ</t>
    </rPh>
    <rPh sb="3" eb="4">
      <t>マタ</t>
    </rPh>
    <rPh sb="5" eb="7">
      <t>ゲンド</t>
    </rPh>
    <rPh sb="7" eb="9">
      <t>チョウカ</t>
    </rPh>
    <rPh sb="9" eb="10">
      <t>ガク</t>
    </rPh>
    <phoneticPr fontId="2"/>
  </si>
  <si>
    <t>軽減均等割額</t>
    <rPh sb="0" eb="2">
      <t>ケイゲン</t>
    </rPh>
    <rPh sb="2" eb="5">
      <t>キントウワリ</t>
    </rPh>
    <rPh sb="5" eb="6">
      <t>ガク</t>
    </rPh>
    <phoneticPr fontId="2"/>
  </si>
  <si>
    <t>軽減平等割額</t>
    <rPh sb="0" eb="2">
      <t>ケイゲン</t>
    </rPh>
    <rPh sb="2" eb="4">
      <t>ビョウドウ</t>
    </rPh>
    <rPh sb="4" eb="5">
      <t>ワリ</t>
    </rPh>
    <rPh sb="5" eb="6">
      <t>ガク</t>
    </rPh>
    <phoneticPr fontId="2"/>
  </si>
  <si>
    <t>介護用所得</t>
    <rPh sb="0" eb="3">
      <t>カイゴヨウ</t>
    </rPh>
    <rPh sb="3" eb="5">
      <t>ショトク</t>
    </rPh>
    <phoneticPr fontId="2"/>
  </si>
  <si>
    <t>介護用資産</t>
    <rPh sb="0" eb="2">
      <t>カイゴ</t>
    </rPh>
    <rPh sb="2" eb="3">
      <t>ヨウ</t>
    </rPh>
    <rPh sb="3" eb="5">
      <t>シサン</t>
    </rPh>
    <phoneticPr fontId="2"/>
  </si>
  <si>
    <t>算定額</t>
    <rPh sb="0" eb="2">
      <t>サンテイ</t>
    </rPh>
    <rPh sb="2" eb="3">
      <t>ガク</t>
    </rPh>
    <phoneticPr fontId="2"/>
  </si>
  <si>
    <t>※端数調整後</t>
    <rPh sb="1" eb="3">
      <t>ハスウ</t>
    </rPh>
    <rPh sb="3" eb="6">
      <t>チョウセイゴ</t>
    </rPh>
    <phoneticPr fontId="2"/>
  </si>
  <si>
    <t>（内訳）</t>
    <rPh sb="1" eb="3">
      <t>ウチワケ</t>
    </rPh>
    <phoneticPr fontId="2"/>
  </si>
  <si>
    <t>①世帯の中に後期高齢者医療保険の被保険者がいる場合。</t>
    <rPh sb="1" eb="3">
      <t>セタイ</t>
    </rPh>
    <rPh sb="4" eb="5">
      <t>ナカ</t>
    </rPh>
    <rPh sb="6" eb="8">
      <t>コウキ</t>
    </rPh>
    <rPh sb="8" eb="11">
      <t>コウレイシャ</t>
    </rPh>
    <rPh sb="11" eb="13">
      <t>イリョウ</t>
    </rPh>
    <rPh sb="13" eb="15">
      <t>ホケン</t>
    </rPh>
    <rPh sb="16" eb="20">
      <t>ヒホケンジャ</t>
    </rPh>
    <rPh sb="23" eb="25">
      <t>バアイ</t>
    </rPh>
    <phoneticPr fontId="2"/>
  </si>
  <si>
    <t>②非自発的失業者に係る軽減を受けている場合。</t>
    <rPh sb="1" eb="2">
      <t>ヒ</t>
    </rPh>
    <rPh sb="2" eb="5">
      <t>ジハツテキ</t>
    </rPh>
    <rPh sb="5" eb="7">
      <t>シツギョウ</t>
    </rPh>
    <rPh sb="7" eb="8">
      <t>シャ</t>
    </rPh>
    <rPh sb="9" eb="10">
      <t>カカ</t>
    </rPh>
    <rPh sb="11" eb="13">
      <t>ケイゲン</t>
    </rPh>
    <rPh sb="14" eb="15">
      <t>ウ</t>
    </rPh>
    <rPh sb="19" eb="21">
      <t>バアイ</t>
    </rPh>
    <phoneticPr fontId="2"/>
  </si>
  <si>
    <t>⑤純損失・雑損失の繰り越し控除、分離課税所得、専従者控除、専従者給与がある場合。</t>
    <rPh sb="1" eb="2">
      <t>ジュン</t>
    </rPh>
    <rPh sb="2" eb="4">
      <t>ソンシツ</t>
    </rPh>
    <rPh sb="5" eb="6">
      <t>ザツ</t>
    </rPh>
    <rPh sb="6" eb="8">
      <t>ソンシツ</t>
    </rPh>
    <rPh sb="9" eb="10">
      <t>ク</t>
    </rPh>
    <rPh sb="11" eb="12">
      <t>コ</t>
    </rPh>
    <rPh sb="13" eb="15">
      <t>コウジョ</t>
    </rPh>
    <rPh sb="16" eb="18">
      <t>ブンリ</t>
    </rPh>
    <rPh sb="18" eb="20">
      <t>カゼイ</t>
    </rPh>
    <rPh sb="20" eb="22">
      <t>ショトク</t>
    </rPh>
    <rPh sb="23" eb="26">
      <t>センジュウシャ</t>
    </rPh>
    <rPh sb="26" eb="28">
      <t>コウジョ</t>
    </rPh>
    <rPh sb="29" eb="32">
      <t>センジュウシャ</t>
    </rPh>
    <rPh sb="32" eb="34">
      <t>キュウヨ</t>
    </rPh>
    <rPh sb="37" eb="39">
      <t>バアイ</t>
    </rPh>
    <phoneticPr fontId="2"/>
  </si>
  <si>
    <t>⑥年度内において、国保世帯の中に異動がある場合（加入者の増減）。</t>
    <rPh sb="1" eb="4">
      <t>ネンドナイ</t>
    </rPh>
    <rPh sb="9" eb="11">
      <t>コクホ</t>
    </rPh>
    <rPh sb="11" eb="13">
      <t>セタイ</t>
    </rPh>
    <rPh sb="14" eb="15">
      <t>ナカ</t>
    </rPh>
    <rPh sb="16" eb="18">
      <t>イドウ</t>
    </rPh>
    <rPh sb="21" eb="23">
      <t>バアイ</t>
    </rPh>
    <rPh sb="24" eb="27">
      <t>カニュウシャ</t>
    </rPh>
    <rPh sb="28" eb="30">
      <t>ゾウゲン</t>
    </rPh>
    <phoneticPr fontId="2"/>
  </si>
  <si>
    <t>加入者の収入・所得・資産状況</t>
    <rPh sb="0" eb="3">
      <t>カニュウシャ</t>
    </rPh>
    <rPh sb="4" eb="6">
      <t>シュウニュウ</t>
    </rPh>
    <rPh sb="7" eb="9">
      <t>ショトク</t>
    </rPh>
    <rPh sb="10" eb="12">
      <t>シサン</t>
    </rPh>
    <rPh sb="12" eb="14">
      <t>ジョウキョウ</t>
    </rPh>
    <phoneticPr fontId="2"/>
  </si>
  <si>
    <t>介護納付金分（40～64歳）</t>
    <rPh sb="0" eb="2">
      <t>カイゴ</t>
    </rPh>
    <rPh sb="2" eb="5">
      <t>ノウフキン</t>
    </rPh>
    <rPh sb="5" eb="6">
      <t>ブン</t>
    </rPh>
    <rPh sb="12" eb="13">
      <t>サイ</t>
    </rPh>
    <phoneticPr fontId="2"/>
  </si>
  <si>
    <t>④減免制度を利用する場合（旧被扶養者に係るものを含む）。</t>
    <rPh sb="1" eb="3">
      <t>ゲンメン</t>
    </rPh>
    <rPh sb="3" eb="5">
      <t>セイド</t>
    </rPh>
    <rPh sb="6" eb="8">
      <t>リヨウ</t>
    </rPh>
    <rPh sb="10" eb="12">
      <t>バアイ</t>
    </rPh>
    <rPh sb="13" eb="14">
      <t>キュウ</t>
    </rPh>
    <rPh sb="14" eb="18">
      <t>ヒフヨウシャ</t>
    </rPh>
    <rPh sb="19" eb="20">
      <t>カカ</t>
    </rPh>
    <rPh sb="24" eb="25">
      <t>フク</t>
    </rPh>
    <phoneticPr fontId="2"/>
  </si>
  <si>
    <t>0歳～39歳</t>
    <rPh sb="1" eb="2">
      <t>サイ</t>
    </rPh>
    <rPh sb="5" eb="6">
      <t>サイ</t>
    </rPh>
    <phoneticPr fontId="4"/>
  </si>
  <si>
    <t>40歳～64歳</t>
    <rPh sb="2" eb="3">
      <t>サイ</t>
    </rPh>
    <rPh sb="6" eb="7">
      <t>サイ</t>
    </rPh>
    <phoneticPr fontId="4"/>
  </si>
  <si>
    <t>65歳～74歳</t>
    <rPh sb="2" eb="3">
      <t>サイ</t>
    </rPh>
    <rPh sb="6" eb="7">
      <t>サイ</t>
    </rPh>
    <phoneticPr fontId="4"/>
  </si>
  <si>
    <t>公的年金収入</t>
    <rPh sb="0" eb="2">
      <t>コウテキ</t>
    </rPh>
    <rPh sb="2" eb="4">
      <t>ネンキン</t>
    </rPh>
    <rPh sb="4" eb="6">
      <t>シュウニュウ</t>
    </rPh>
    <phoneticPr fontId="2"/>
  </si>
  <si>
    <t>　◆入力要領</t>
    <rPh sb="2" eb="4">
      <t>ニュウリョク</t>
    </rPh>
    <rPh sb="4" eb="6">
      <t>ヨウリョウ</t>
    </rPh>
    <phoneticPr fontId="2"/>
  </si>
  <si>
    <t>　　※　退職所得は入れないでください。</t>
    <rPh sb="4" eb="6">
      <t>タイショク</t>
    </rPh>
    <rPh sb="6" eb="8">
      <t>ショトク</t>
    </rPh>
    <rPh sb="9" eb="10">
      <t>イ</t>
    </rPh>
    <phoneticPr fontId="2"/>
  </si>
  <si>
    <t>“算定基礎データ”シートの該当列のＮｏを入力</t>
    <rPh sb="1" eb="3">
      <t>サンテイ</t>
    </rPh>
    <rPh sb="3" eb="5">
      <t>キソ</t>
    </rPh>
    <rPh sb="13" eb="15">
      <t>ガイトウ</t>
    </rPh>
    <rPh sb="15" eb="16">
      <t>レツ</t>
    </rPh>
    <rPh sb="20" eb="22">
      <t>ニュウリョク</t>
    </rPh>
    <phoneticPr fontId="2"/>
  </si>
  <si>
    <r>
      <rPr>
        <b/>
        <sz val="11"/>
        <color rgb="FFC00000"/>
        <rFont val="HGPｺﾞｼｯｸM"/>
        <family val="3"/>
        <charset val="128"/>
      </rPr>
      <t>↑</t>
    </r>
    <r>
      <rPr>
        <sz val="11"/>
        <color rgb="FFC00000"/>
        <rFont val="HGPｺﾞｼｯｸM"/>
        <family val="3"/>
        <charset val="128"/>
      </rPr>
      <t xml:space="preserve"> 税率試算設定</t>
    </r>
    <rPh sb="2" eb="4">
      <t>ゼイリツ</t>
    </rPh>
    <rPh sb="4" eb="6">
      <t>シサン</t>
    </rPh>
    <rPh sb="6" eb="8">
      <t>セッテイ</t>
    </rPh>
    <phoneticPr fontId="2"/>
  </si>
  <si>
    <t>※ 控除後所得の算出</t>
    <rPh sb="0" eb="10">
      <t>サンシュツ</t>
    </rPh>
    <phoneticPr fontId="2"/>
  </si>
  <si>
    <t>円から</t>
    <rPh sb="0" eb="1">
      <t>エン</t>
    </rPh>
    <phoneticPr fontId="2"/>
  </si>
  <si>
    <t>円まで</t>
    <rPh sb="0" eb="1">
      <t>エン</t>
    </rPh>
    <phoneticPr fontId="2"/>
  </si>
  <si>
    <t>円以上</t>
    <rPh sb="0" eb="1">
      <t>エン</t>
    </rPh>
    <rPh sb="1" eb="3">
      <t>イジョウ</t>
    </rPh>
    <phoneticPr fontId="2"/>
  </si>
  <si>
    <t>収入金額</t>
    <rPh sb="0" eb="2">
      <t>シュウニュウ</t>
    </rPh>
    <rPh sb="2" eb="4">
      <t>キンガク</t>
    </rPh>
    <phoneticPr fontId="2"/>
  </si>
  <si>
    <t>円</t>
    <rPh sb="0" eb="1">
      <t>エン</t>
    </rPh>
    <phoneticPr fontId="2"/>
  </si>
  <si>
    <t>給与所得の金額</t>
    <rPh sb="0" eb="2">
      <t>キュウヨ</t>
    </rPh>
    <rPh sb="2" eb="4">
      <t>ショトク</t>
    </rPh>
    <rPh sb="5" eb="7">
      <t>キンガク</t>
    </rPh>
    <phoneticPr fontId="2"/>
  </si>
  <si>
    <t>給与収入額を</t>
    <rPh sb="0" eb="2">
      <t>キュウヨ</t>
    </rPh>
    <rPh sb="2" eb="4">
      <t>シュウニュウ</t>
    </rPh>
    <rPh sb="4" eb="5">
      <t>ガク</t>
    </rPh>
    <phoneticPr fontId="2"/>
  </si>
  <si>
    <t>で割った数(A)</t>
    <rPh sb="1" eb="2">
      <t>ワ</t>
    </rPh>
    <rPh sb="4" eb="5">
      <t>カズ</t>
    </rPh>
    <phoneticPr fontId="2"/>
  </si>
  <si>
    <t>給与収入の額</t>
    <rPh sb="0" eb="2">
      <t>キュウヨ</t>
    </rPh>
    <rPh sb="2" eb="4">
      <t>シュウニュウ</t>
    </rPh>
    <rPh sb="5" eb="6">
      <t>ガク</t>
    </rPh>
    <phoneticPr fontId="2"/>
  </si>
  <si>
    <r>
      <rPr>
        <sz val="8"/>
        <rFont val="HGSｺﾞｼｯｸM"/>
        <family val="3"/>
        <charset val="128"/>
      </rPr>
      <t>給与収入の額</t>
    </r>
    <r>
      <rPr>
        <sz val="8"/>
        <rFont val="Calibri"/>
        <family val="3"/>
      </rPr>
      <t xml:space="preserve"> </t>
    </r>
    <r>
      <rPr>
        <sz val="9"/>
        <rFont val="Calibri"/>
        <family val="3"/>
      </rPr>
      <t>×</t>
    </r>
    <phoneticPr fontId="2"/>
  </si>
  <si>
    <r>
      <t xml:space="preserve">A </t>
    </r>
    <r>
      <rPr>
        <sz val="9"/>
        <rFont val="Calibri"/>
        <family val="3"/>
      </rPr>
      <t>×</t>
    </r>
    <phoneticPr fontId="2"/>
  </si>
  <si>
    <t>↑</t>
    <phoneticPr fontId="2"/>
  </si>
  <si>
    <t>↓</t>
    <phoneticPr fontId="2"/>
  </si>
  <si>
    <t>割合</t>
    <rPh sb="0" eb="2">
      <t>ワリアイ</t>
    </rPh>
    <phoneticPr fontId="2"/>
  </si>
  <si>
    <r>
      <t>公的年金収入金額（65歳</t>
    </r>
    <r>
      <rPr>
        <sz val="9"/>
        <color rgb="FFC00000"/>
        <rFont val="HGSｺﾞｼｯｸM"/>
        <family val="3"/>
        <charset val="128"/>
      </rPr>
      <t>以上</t>
    </r>
    <r>
      <rPr>
        <sz val="9"/>
        <color theme="1"/>
        <rFont val="HGSｺﾞｼｯｸM"/>
        <family val="3"/>
        <charset val="128"/>
      </rPr>
      <t>）</t>
    </r>
    <rPh sb="0" eb="2">
      <t>コウテキ</t>
    </rPh>
    <rPh sb="2" eb="4">
      <t>ネンキン</t>
    </rPh>
    <rPh sb="4" eb="6">
      <t>シュウニュウ</t>
    </rPh>
    <rPh sb="6" eb="8">
      <t>キンガク</t>
    </rPh>
    <rPh sb="11" eb="14">
      <t>サイイジョウ</t>
    </rPh>
    <phoneticPr fontId="2"/>
  </si>
  <si>
    <r>
      <t>公的年金収入金額（65歳</t>
    </r>
    <r>
      <rPr>
        <sz val="9"/>
        <color rgb="FFC00000"/>
        <rFont val="HGSｺﾞｼｯｸM"/>
        <family val="3"/>
        <charset val="128"/>
      </rPr>
      <t>未満</t>
    </r>
    <r>
      <rPr>
        <sz val="9"/>
        <color theme="1"/>
        <rFont val="HGSｺﾞｼｯｸM"/>
        <family val="3"/>
        <charset val="128"/>
      </rPr>
      <t>）</t>
    </r>
    <rPh sb="0" eb="2">
      <t>コウテキ</t>
    </rPh>
    <rPh sb="2" eb="4">
      <t>ネンキン</t>
    </rPh>
    <rPh sb="4" eb="6">
      <t>シュウニュウ</t>
    </rPh>
    <rPh sb="6" eb="8">
      <t>キンガク</t>
    </rPh>
    <rPh sb="11" eb="14">
      <t>サイミマン</t>
    </rPh>
    <phoneticPr fontId="2"/>
  </si>
  <si>
    <t>控除額</t>
    <rPh sb="0" eb="2">
      <t>コウジョ</t>
    </rPh>
    <rPh sb="2" eb="3">
      <t>ガク</t>
    </rPh>
    <phoneticPr fontId="2"/>
  </si>
  <si>
    <t>　２　オレンジ色のセルに金額を入力してください。</t>
    <rPh sb="7" eb="8">
      <t>イロ</t>
    </rPh>
    <rPh sb="12" eb="13">
      <t>キン</t>
    </rPh>
    <rPh sb="13" eb="14">
      <t>ガク</t>
    </rPh>
    <rPh sb="15" eb="17">
      <t>ニュウリョク</t>
    </rPh>
    <phoneticPr fontId="2"/>
  </si>
  <si>
    <r>
      <t>控除後所得(年金所得)算出基礎（確定申告の手引 速算表(</t>
    </r>
    <r>
      <rPr>
        <sz val="9"/>
        <color rgb="FFC00000"/>
        <rFont val="HGSｺﾞｼｯｸM"/>
        <family val="3"/>
        <charset val="128"/>
      </rPr>
      <t>雑所得の所得計算(第2章-1節 一時所得・雑所得-4)</t>
    </r>
    <r>
      <rPr>
        <sz val="9"/>
        <color theme="1"/>
        <rFont val="HGSｺﾞｼｯｸM"/>
        <family val="3"/>
        <charset val="128"/>
      </rPr>
      <t>)から転記）</t>
    </r>
    <rPh sb="11" eb="13">
      <t>サンシュツ</t>
    </rPh>
    <rPh sb="13" eb="15">
      <t>キソ</t>
    </rPh>
    <rPh sb="16" eb="18">
      <t>カクテイ</t>
    </rPh>
    <rPh sb="18" eb="20">
      <t>シンコク</t>
    </rPh>
    <rPh sb="21" eb="23">
      <t>テビキ</t>
    </rPh>
    <rPh sb="24" eb="25">
      <t>ソク</t>
    </rPh>
    <rPh sb="25" eb="26">
      <t>ザン</t>
    </rPh>
    <rPh sb="26" eb="27">
      <t>ヒョウ</t>
    </rPh>
    <rPh sb="28" eb="31">
      <t>ザツショトク</t>
    </rPh>
    <rPh sb="32" eb="34">
      <t>ショトク</t>
    </rPh>
    <rPh sb="34" eb="36">
      <t>ケイサン</t>
    </rPh>
    <rPh sb="37" eb="38">
      <t>ダイ</t>
    </rPh>
    <rPh sb="39" eb="40">
      <t>ショウ</t>
    </rPh>
    <rPh sb="42" eb="43">
      <t>セツ</t>
    </rPh>
    <rPh sb="44" eb="46">
      <t>イチジ</t>
    </rPh>
    <rPh sb="46" eb="48">
      <t>ショトク</t>
    </rPh>
    <rPh sb="49" eb="52">
      <t>ザッショトク</t>
    </rPh>
    <rPh sb="58" eb="60">
      <t>テンキ</t>
    </rPh>
    <phoneticPr fontId="2"/>
  </si>
  <si>
    <r>
      <t>控除後所得(給与所得)算出基礎（確定申告の手引 速算表(</t>
    </r>
    <r>
      <rPr>
        <sz val="9"/>
        <color rgb="FFC00000"/>
        <rFont val="HGSｺﾞｼｯｸM"/>
        <family val="3"/>
        <charset val="128"/>
      </rPr>
      <t>給与所得控除額(第2章-1節 給与所得-4)</t>
    </r>
    <r>
      <rPr>
        <sz val="9"/>
        <color theme="1"/>
        <rFont val="HGSｺﾞｼｯｸM"/>
        <family val="3"/>
        <charset val="128"/>
      </rPr>
      <t>)から転記）</t>
    </r>
    <rPh sb="11" eb="13">
      <t>サンシュツ</t>
    </rPh>
    <rPh sb="13" eb="15">
      <t>キソ</t>
    </rPh>
    <rPh sb="16" eb="18">
      <t>カクテイ</t>
    </rPh>
    <rPh sb="18" eb="20">
      <t>シンコク</t>
    </rPh>
    <rPh sb="21" eb="23">
      <t>テビキ</t>
    </rPh>
    <rPh sb="28" eb="30">
      <t>キュウヨ</t>
    </rPh>
    <rPh sb="30" eb="32">
      <t>ショトク</t>
    </rPh>
    <rPh sb="32" eb="34">
      <t>コウジョ</t>
    </rPh>
    <rPh sb="34" eb="35">
      <t>ガク</t>
    </rPh>
    <rPh sb="36" eb="37">
      <t>ダイ</t>
    </rPh>
    <rPh sb="38" eb="39">
      <t>ショウ</t>
    </rPh>
    <rPh sb="41" eb="42">
      <t>セツ</t>
    </rPh>
    <rPh sb="43" eb="45">
      <t>キュウヨ</t>
    </rPh>
    <rPh sb="45" eb="47">
      <t>ショトク</t>
    </rPh>
    <rPh sb="53" eb="55">
      <t>テンキ</t>
    </rPh>
    <phoneticPr fontId="2"/>
  </si>
  <si>
    <t>※　公的年金等雑所得以外の所得が1,000万円を超える者は、　</t>
    <rPh sb="2" eb="4">
      <t>コウテキ</t>
    </rPh>
    <rPh sb="4" eb="6">
      <t>ネンキン</t>
    </rPh>
    <rPh sb="6" eb="7">
      <t>トウ</t>
    </rPh>
    <rPh sb="7" eb="8">
      <t>ザツ</t>
    </rPh>
    <rPh sb="8" eb="10">
      <t>ショトク</t>
    </rPh>
    <rPh sb="10" eb="12">
      <t>イガイ</t>
    </rPh>
    <rPh sb="13" eb="15">
      <t>ショトク</t>
    </rPh>
    <rPh sb="22" eb="23">
      <t>エン</t>
    </rPh>
    <rPh sb="24" eb="25">
      <t>コ</t>
    </rPh>
    <rPh sb="27" eb="28">
      <t>モノ</t>
    </rPh>
    <phoneticPr fontId="2"/>
  </si>
  <si>
    <t>　“別途試算”とする。</t>
    <phoneticPr fontId="2"/>
  </si>
  <si>
    <t>5割減 加算</t>
    <rPh sb="1" eb="2">
      <t>ワリ</t>
    </rPh>
    <rPh sb="4" eb="6">
      <t>カサン</t>
    </rPh>
    <phoneticPr fontId="2"/>
  </si>
  <si>
    <t>2割減 加算</t>
    <rPh sb="1" eb="2">
      <t>ワリ</t>
    </rPh>
    <rPh sb="4" eb="6">
      <t>カサン</t>
    </rPh>
    <phoneticPr fontId="2"/>
  </si>
  <si>
    <t>7割減 算出</t>
    <rPh sb="1" eb="2">
      <t>ワリ</t>
    </rPh>
    <rPh sb="4" eb="6">
      <t>サンシュツ</t>
    </rPh>
    <phoneticPr fontId="2"/>
  </si>
  <si>
    <t>5割 算出</t>
    <rPh sb="1" eb="2">
      <t>ワリ</t>
    </rPh>
    <rPh sb="3" eb="5">
      <t>サンシュツ</t>
    </rPh>
    <phoneticPr fontId="2"/>
  </si>
  <si>
    <t>2割 算出</t>
    <rPh sb="1" eb="2">
      <t>ワリ</t>
    </rPh>
    <rPh sb="3" eb="5">
      <t>サンシュツ</t>
    </rPh>
    <phoneticPr fontId="2"/>
  </si>
  <si>
    <t>◎</t>
    <phoneticPr fontId="2"/>
  </si>
  <si>
    <t>給与所得者等人数 →</t>
    <rPh sb="0" eb="2">
      <t>キュウヨ</t>
    </rPh>
    <rPh sb="2" eb="4">
      <t>ショトク</t>
    </rPh>
    <rPh sb="4" eb="5">
      <t>シャ</t>
    </rPh>
    <rPh sb="5" eb="6">
      <t>トウ</t>
    </rPh>
    <rPh sb="6" eb="7">
      <t>ニン</t>
    </rPh>
    <rPh sb="7" eb="8">
      <t>スウ</t>
    </rPh>
    <phoneticPr fontId="2"/>
  </si>
  <si>
    <t>5割軽減判定基準</t>
    <rPh sb="1" eb="2">
      <t>ワリ</t>
    </rPh>
    <rPh sb="2" eb="4">
      <t>ケイゲン</t>
    </rPh>
    <rPh sb="4" eb="6">
      <t>ハンテイ</t>
    </rPh>
    <rPh sb="6" eb="8">
      <t>キジュン</t>
    </rPh>
    <phoneticPr fontId="2"/>
  </si>
  <si>
    <t>7割軽減判定基準</t>
    <rPh sb="1" eb="2">
      <t>ワリ</t>
    </rPh>
    <rPh sb="2" eb="4">
      <t>ケイゲン</t>
    </rPh>
    <rPh sb="4" eb="6">
      <t>ハンテイ</t>
    </rPh>
    <rPh sb="6" eb="8">
      <t>キジュン</t>
    </rPh>
    <phoneticPr fontId="2"/>
  </si>
  <si>
    <t>2割軽減判定基準</t>
    <rPh sb="1" eb="2">
      <t>ワリ</t>
    </rPh>
    <rPh sb="2" eb="4">
      <t>ケイゲン</t>
    </rPh>
    <rPh sb="4" eb="6">
      <t>ハンテイ</t>
    </rPh>
    <rPh sb="6" eb="8">
      <t>キジュン</t>
    </rPh>
    <phoneticPr fontId="2"/>
  </si>
  <si>
    <r>
      <t xml:space="preserve"> </t>
    </r>
    <r>
      <rPr>
        <sz val="20"/>
        <color theme="1"/>
        <rFont val="Segoe UI Symbol"/>
        <family val="3"/>
      </rPr>
      <t xml:space="preserve">☝ </t>
    </r>
    <r>
      <rPr>
        <sz val="11"/>
        <color theme="1"/>
        <rFont val="HGPｺﾞｼｯｸM"/>
        <family val="3"/>
        <charset val="128"/>
      </rPr>
      <t>プルダウン（▼）で“◎”選択</t>
    </r>
    <rPh sb="15" eb="17">
      <t>センタク</t>
    </rPh>
    <phoneticPr fontId="2"/>
  </si>
  <si>
    <t>『給与』や『公的年金』がある場合→“◎”</t>
    <rPh sb="6" eb="8">
      <t>コウテキ</t>
    </rPh>
    <rPh sb="14" eb="16">
      <t>バアイ</t>
    </rPh>
    <phoneticPr fontId="2"/>
  </si>
  <si>
    <t>その他の所得</t>
    <rPh sb="2" eb="3">
      <t>タ</t>
    </rPh>
    <rPh sb="4" eb="6">
      <t>ショトク</t>
    </rPh>
    <phoneticPr fontId="2"/>
  </si>
  <si>
    <t>7割 軽減</t>
    <rPh sb="1" eb="2">
      <t>ワリ</t>
    </rPh>
    <rPh sb="3" eb="5">
      <t>ケイゲン</t>
    </rPh>
    <phoneticPr fontId="2"/>
  </si>
  <si>
    <t>所得の基礎控除</t>
    <rPh sb="0" eb="2">
      <t>ショトク</t>
    </rPh>
    <rPh sb="3" eb="5">
      <t>キソ</t>
    </rPh>
    <rPh sb="5" eb="7">
      <t>コウジョ</t>
    </rPh>
    <phoneticPr fontId="2"/>
  </si>
  <si>
    <t>医療加入月数</t>
    <rPh sb="0" eb="2">
      <t>イリョウ</t>
    </rPh>
    <rPh sb="2" eb="4">
      <t>カニュウ</t>
    </rPh>
    <rPh sb="4" eb="5">
      <t>ヅキ</t>
    </rPh>
    <rPh sb="5" eb="6">
      <t>スウ</t>
    </rPh>
    <phoneticPr fontId="2"/>
  </si>
  <si>
    <t>介護加入月数</t>
    <rPh sb="0" eb="2">
      <t>カイゴ</t>
    </rPh>
    <rPh sb="2" eb="4">
      <t>カニュウ</t>
    </rPh>
    <rPh sb="4" eb="5">
      <t>ヅキ</t>
    </rPh>
    <rPh sb="5" eb="6">
      <t>スウ</t>
    </rPh>
    <phoneticPr fontId="2"/>
  </si>
  <si>
    <t>← 税制大綱で“軽減基準”が改正されたら修正 ？？</t>
    <rPh sb="2" eb="4">
      <t>ゼイセイ</t>
    </rPh>
    <rPh sb="4" eb="6">
      <t>タイコウ</t>
    </rPh>
    <rPh sb="8" eb="10">
      <t>ケイゲン</t>
    </rPh>
    <rPh sb="10" eb="12">
      <t>キジュン</t>
    </rPh>
    <phoneticPr fontId="2"/>
  </si>
  <si>
    <t>新年度</t>
    <rPh sb="0" eb="3">
      <t>シンネンド</t>
    </rPh>
    <phoneticPr fontId="2"/>
  </si>
  <si>
    <t>※他の社会保険と異なり、毎月払いではありません。</t>
    <rPh sb="1" eb="2">
      <t>ホカ</t>
    </rPh>
    <rPh sb="3" eb="5">
      <t>シャカイ</t>
    </rPh>
    <rPh sb="5" eb="7">
      <t>ホケン</t>
    </rPh>
    <rPh sb="8" eb="9">
      <t>コト</t>
    </rPh>
    <rPh sb="12" eb="14">
      <t>マイツキ</t>
    </rPh>
    <rPh sb="14" eb="15">
      <t>バラ</t>
    </rPh>
    <phoneticPr fontId="2"/>
  </si>
  <si>
    <t>本シートはあくまで仮の計算です。実際の課税額を保証するものではありません。</t>
    <rPh sb="0" eb="1">
      <t>ホン</t>
    </rPh>
    <rPh sb="9" eb="10">
      <t>カリ</t>
    </rPh>
    <rPh sb="11" eb="13">
      <t>ケイサン</t>
    </rPh>
    <rPh sb="16" eb="18">
      <t>ジッサイ</t>
    </rPh>
    <rPh sb="19" eb="21">
      <t>カゼイ</t>
    </rPh>
    <rPh sb="21" eb="22">
      <t>ガク</t>
    </rPh>
    <rPh sb="23" eb="25">
      <t>ホショウ</t>
    </rPh>
    <phoneticPr fontId="2"/>
  </si>
  <si>
    <t>（参考：期割）</t>
    <phoneticPr fontId="2"/>
  </si>
  <si>
    <t>※以下の場合は本シートでの計算と異なる可能性があります。</t>
    <rPh sb="1" eb="3">
      <t>イカ</t>
    </rPh>
    <rPh sb="4" eb="6">
      <t>バアイ</t>
    </rPh>
    <rPh sb="7" eb="8">
      <t>ホン</t>
    </rPh>
    <rPh sb="13" eb="15">
      <t>ケイサン</t>
    </rPh>
    <rPh sb="16" eb="17">
      <t>コト</t>
    </rPh>
    <rPh sb="19" eb="22">
      <t>カノウセイ</t>
    </rPh>
    <phoneticPr fontId="2"/>
  </si>
  <si>
    <t>③年度途中で40歳、65歳または75歳になられる方がいる場合。</t>
    <rPh sb="1" eb="3">
      <t>ネンド</t>
    </rPh>
    <rPh sb="3" eb="5">
      <t>トチュウ</t>
    </rPh>
    <rPh sb="8" eb="9">
      <t>サイ</t>
    </rPh>
    <rPh sb="12" eb="13">
      <t>サイ</t>
    </rPh>
    <rPh sb="18" eb="19">
      <t>サイ</t>
    </rPh>
    <rPh sb="24" eb="25">
      <t>カタ</t>
    </rPh>
    <rPh sb="28" eb="30">
      <t>バアイ</t>
    </rPh>
    <phoneticPr fontId="2"/>
  </si>
  <si>
    <r>
      <t>表の</t>
    </r>
    <r>
      <rPr>
        <sz val="11"/>
        <color rgb="FFFF0000"/>
        <rFont val="HGSｺﾞｼｯｸM"/>
        <family val="3"/>
        <charset val="128"/>
      </rPr>
      <t>朱字のセル</t>
    </r>
    <r>
      <rPr>
        <sz val="11"/>
        <color theme="1"/>
        <rFont val="HGSｺﾞｼｯｸM"/>
        <family val="3"/>
        <charset val="128"/>
      </rPr>
      <t>に入力</t>
    </r>
    <rPh sb="0" eb="1">
      <t>ヒョウ</t>
    </rPh>
    <rPh sb="2" eb="4">
      <t>シュジ</t>
    </rPh>
    <rPh sb="8" eb="10">
      <t>ニュウリョク</t>
    </rPh>
    <phoneticPr fontId="2"/>
  </si>
  <si>
    <r>
      <t>　１　加入区分欄は、加入する世帯員の</t>
    </r>
    <r>
      <rPr>
        <sz val="11"/>
        <color rgb="FFFF0000"/>
        <rFont val="HGPｺﾞｼｯｸM"/>
        <family val="3"/>
        <charset val="128"/>
      </rPr>
      <t>4月1日時点の年齢</t>
    </r>
    <r>
      <rPr>
        <sz val="11"/>
        <color theme="1"/>
        <rFont val="HGPｺﾞｼｯｸM"/>
        <family val="3"/>
        <charset val="128"/>
      </rPr>
      <t>を選択してください。</t>
    </r>
    <rPh sb="3" eb="5">
      <t>カニュウ</t>
    </rPh>
    <rPh sb="5" eb="7">
      <t>クブン</t>
    </rPh>
    <rPh sb="7" eb="8">
      <t>ラン</t>
    </rPh>
    <rPh sb="10" eb="12">
      <t>カニュウ</t>
    </rPh>
    <rPh sb="14" eb="17">
      <t>セタイイン</t>
    </rPh>
    <rPh sb="19" eb="20">
      <t>ガツ</t>
    </rPh>
    <rPh sb="21" eb="22">
      <t>ニチ</t>
    </rPh>
    <rPh sb="22" eb="24">
      <t>ジテン</t>
    </rPh>
    <rPh sb="25" eb="27">
      <t>ネンレイ</t>
    </rPh>
    <rPh sb="28" eb="30">
      <t>センタク</t>
    </rPh>
    <phoneticPr fontId="2"/>
  </si>
  <si>
    <r>
      <rPr>
        <sz val="11"/>
        <color rgb="FFC00000"/>
        <rFont val="HGPｺﾞｼｯｸM"/>
        <family val="3"/>
        <charset val="128"/>
      </rPr>
      <t>　　</t>
    </r>
    <r>
      <rPr>
        <sz val="11"/>
        <rFont val="HGPｺﾞｼｯｸM"/>
        <family val="3"/>
        <charset val="128"/>
      </rPr>
      <t>※</t>
    </r>
    <r>
      <rPr>
        <sz val="11"/>
        <color rgb="FFC00000"/>
        <rFont val="HGPｺﾞｼｯｸM"/>
        <family val="3"/>
        <charset val="128"/>
      </rPr>
      <t>　</t>
    </r>
    <r>
      <rPr>
        <sz val="11"/>
        <rFont val="HGPｺﾞｼｯｸM"/>
        <family val="3"/>
        <charset val="128"/>
      </rPr>
      <t>確定申告している方は、</t>
    </r>
    <r>
      <rPr>
        <sz val="11"/>
        <color rgb="FFFF0000"/>
        <rFont val="HGPｺﾞｼｯｸM"/>
        <family val="3"/>
        <charset val="128"/>
      </rPr>
      <t>その他所得欄に合計所得の額</t>
    </r>
    <r>
      <rPr>
        <sz val="11"/>
        <rFont val="HGPｺﾞｼｯｸM"/>
        <family val="3"/>
        <charset val="128"/>
      </rPr>
      <t>をいれてください。</t>
    </r>
    <rPh sb="4" eb="6">
      <t>カクテイ</t>
    </rPh>
    <rPh sb="6" eb="8">
      <t>シンコク</t>
    </rPh>
    <rPh sb="12" eb="13">
      <t>カタ</t>
    </rPh>
    <rPh sb="17" eb="18">
      <t>タ</t>
    </rPh>
    <rPh sb="18" eb="20">
      <t>ショトク</t>
    </rPh>
    <rPh sb="20" eb="21">
      <t>ラン</t>
    </rPh>
    <rPh sb="27" eb="28">
      <t>ガク</t>
    </rPh>
    <phoneticPr fontId="2"/>
  </si>
  <si>
    <r>
      <t>　　※　</t>
    </r>
    <r>
      <rPr>
        <sz val="11"/>
        <color rgb="FFFF0000"/>
        <rFont val="HGPｺﾞｼｯｸM"/>
        <family val="3"/>
        <charset val="128"/>
      </rPr>
      <t>公的年金所得以外の所得が１千万円を超える場合</t>
    </r>
    <r>
      <rPr>
        <sz val="11"/>
        <color theme="1"/>
        <rFont val="HGPｺﾞｼｯｸM"/>
        <family val="3"/>
        <charset val="128"/>
      </rPr>
      <t>、このシートでは試算できません。</t>
    </r>
    <rPh sb="4" eb="6">
      <t>コウテキ</t>
    </rPh>
    <rPh sb="6" eb="8">
      <t>ネンキン</t>
    </rPh>
    <rPh sb="8" eb="10">
      <t>ショトク</t>
    </rPh>
    <rPh sb="10" eb="12">
      <t>イガイ</t>
    </rPh>
    <rPh sb="13" eb="15">
      <t>ショトク</t>
    </rPh>
    <rPh sb="17" eb="20">
      <t>センマンエン</t>
    </rPh>
    <rPh sb="21" eb="22">
      <t>コ</t>
    </rPh>
    <rPh sb="24" eb="26">
      <t>バアイ</t>
    </rPh>
    <rPh sb="34" eb="36">
      <t>シサン</t>
    </rPh>
    <phoneticPr fontId="2"/>
  </si>
  <si>
    <t>参考</t>
    <rPh sb="0" eb="2">
      <t>サンコウ</t>
    </rPh>
    <phoneticPr fontId="2"/>
  </si>
  <si>
    <t>令和6年度</t>
    <rPh sb="0" eb="2">
      <t>レイワ</t>
    </rPh>
    <rPh sb="3" eb="5">
      <t>ネンド</t>
    </rPh>
    <phoneticPr fontId="2"/>
  </si>
  <si>
    <t>◎</t>
  </si>
  <si>
    <r>
      <t xml:space="preserve">7・5・2軽減 </t>
    </r>
    <r>
      <rPr>
        <sz val="9"/>
        <color rgb="FFC00000"/>
        <rFont val="HGPｺﾞｼｯｸM"/>
        <family val="3"/>
        <charset val="128"/>
      </rPr>
      <t>税制大綱で“軽減基準”が改正されたら、数値修正</t>
    </r>
    <rPh sb="5" eb="6">
      <t>ケイ</t>
    </rPh>
    <rPh sb="6" eb="7">
      <t>ゲン</t>
    </rPh>
    <rPh sb="8" eb="10">
      <t>ゼイセイ</t>
    </rPh>
    <rPh sb="10" eb="12">
      <t>タイコウ</t>
    </rPh>
    <rPh sb="14" eb="16">
      <t>ケイゲン</t>
    </rPh>
    <rPh sb="16" eb="18">
      <t>キジュン</t>
    </rPh>
    <rPh sb="27" eb="29">
      <t>スウチ</t>
    </rPh>
    <rPh sb="29" eb="31">
      <t>シュウセイ</t>
    </rPh>
    <phoneticPr fontId="2"/>
  </si>
  <si>
    <t>大崎上島町国民健康保険税 簡易試算シート（令和7年度）</t>
    <rPh sb="0" eb="2">
      <t>オオサキ</t>
    </rPh>
    <rPh sb="2" eb="5">
      <t>カミジマチョウ</t>
    </rPh>
    <rPh sb="5" eb="7">
      <t>コクミン</t>
    </rPh>
    <rPh sb="7" eb="9">
      <t>ケンコウ</t>
    </rPh>
    <rPh sb="9" eb="11">
      <t>ホケン</t>
    </rPh>
    <rPh sb="11" eb="12">
      <t>ゼイ</t>
    </rPh>
    <rPh sb="13" eb="15">
      <t>カンイ</t>
    </rPh>
    <rPh sb="15" eb="17">
      <t>シサン</t>
    </rPh>
    <rPh sb="21" eb="23">
      <t>レイワ</t>
    </rPh>
    <rPh sb="24" eb="26">
      <t>ネンド</t>
    </rPh>
    <phoneticPr fontId="2"/>
  </si>
  <si>
    <t>令和7年度</t>
    <rPh sb="0" eb="2">
      <t>レイワ</t>
    </rPh>
    <rPh sb="3" eb="5">
      <t>ネンド</t>
    </rPh>
    <phoneticPr fontId="2"/>
  </si>
  <si>
    <t>2024年中</t>
    <rPh sb="4" eb="5">
      <t>ネン</t>
    </rPh>
    <rPh sb="5" eb="6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</si>
</sst>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,000&quot;円&quot;"/>
    <numFmt numFmtId="177" formatCode="0.0%"/>
    <numFmt numFmtId="178" formatCode="#,##0&quot;円&quot;"/>
    <numFmt numFmtId="179" formatCode="0&quot;ヶ月&quot;"/>
    <numFmt numFmtId="180" formatCode="&quot;平成&quot;###&quot;年度&quot;"/>
    <numFmt numFmtId="181" formatCode="&quot;平&quot;&quot;成&quot;0&quot;年度&quot;"/>
    <numFmt numFmtId="182" formatCode="[$-411]ge\.m\.d;@"/>
    <numFmt numFmtId="183" formatCode="#,##0_ "/>
    <numFmt numFmtId="184" formatCode="#,###&quot;円&quot;"/>
    <numFmt numFmtId="185" formatCode="#&quot;割軽減&quot;"/>
    <numFmt numFmtId="186" formatCode="#,##0.0;[Red]\-#,##0.0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1"/>
      <color rgb="FFC00000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22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9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u/>
      <sz val="12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b/>
      <sz val="11"/>
      <color rgb="FFC00000"/>
      <name val="HGPｺﾞｼｯｸM"/>
      <family val="3"/>
      <charset val="128"/>
    </font>
    <font>
      <sz val="11"/>
      <color theme="1" tint="0.24994659260841701"/>
      <name val="HGP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name val="HGPｺﾞｼｯｸM"/>
      <family val="3"/>
      <charset val="128"/>
    </font>
    <font>
      <sz val="9"/>
      <color rgb="FFC00000"/>
      <name val="HGSｺﾞｼｯｸM"/>
      <family val="3"/>
      <charset val="128"/>
    </font>
    <font>
      <sz val="9"/>
      <name val="HGSｺﾞｼｯｸM"/>
      <family val="3"/>
      <charset val="128"/>
    </font>
    <font>
      <sz val="9"/>
      <name val="Calibri"/>
      <family val="3"/>
    </font>
    <font>
      <sz val="9"/>
      <color rgb="FF730000"/>
      <name val="HGSｺﾞｼｯｸM"/>
      <family val="3"/>
      <charset val="128"/>
    </font>
    <font>
      <sz val="9"/>
      <name val="Calibri"/>
      <family val="3"/>
      <charset val="128"/>
    </font>
    <font>
      <sz val="8"/>
      <name val="HGSｺﾞｼｯｸM"/>
      <family val="3"/>
      <charset val="128"/>
    </font>
    <font>
      <sz val="8"/>
      <name val="Calibri"/>
      <family val="3"/>
    </font>
    <font>
      <sz val="10"/>
      <color rgb="FFC00000"/>
      <name val="HGSｺﾞｼｯｸM"/>
      <family val="3"/>
      <charset val="128"/>
    </font>
    <font>
      <sz val="9"/>
      <color rgb="FFC0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20"/>
      <color theme="1"/>
      <name val="Segoe UI Symbol"/>
      <family val="3"/>
    </font>
    <font>
      <sz val="12"/>
      <color theme="1"/>
      <name val="HGPｺﾞｼｯｸM"/>
      <family val="3"/>
      <charset val="128"/>
    </font>
    <font>
      <sz val="10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9"/>
      <color rgb="FFFF0000"/>
      <name val="HGSｺﾞｼｯｸM"/>
      <family val="3"/>
      <charset val="128"/>
    </font>
    <font>
      <b/>
      <sz val="8"/>
      <color rgb="FFFF0000"/>
      <name val="HGSｺﾞｼｯｸM"/>
      <family val="3"/>
      <charset val="128"/>
    </font>
    <font>
      <sz val="11"/>
      <color rgb="FFFF000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5117038483843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5" fillId="0" borderId="1" xfId="0" applyFont="1" applyBorder="1">
      <alignment vertical="center"/>
    </xf>
    <xf numFmtId="181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10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82" fontId="5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84" fontId="5" fillId="0" borderId="1" xfId="0" applyNumberFormat="1" applyFont="1" applyBorder="1">
      <alignment vertical="center"/>
    </xf>
    <xf numFmtId="184" fontId="5" fillId="0" borderId="1" xfId="1" applyNumberFormat="1" applyFont="1" applyBorder="1">
      <alignment vertical="center"/>
    </xf>
    <xf numFmtId="184" fontId="5" fillId="0" borderId="0" xfId="0" applyNumberFormat="1" applyFont="1">
      <alignment vertical="center"/>
    </xf>
    <xf numFmtId="184" fontId="5" fillId="0" borderId="1" xfId="1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83" fontId="5" fillId="0" borderId="0" xfId="0" applyNumberFormat="1" applyFont="1">
      <alignment vertical="center"/>
    </xf>
    <xf numFmtId="178" fontId="5" fillId="0" borderId="1" xfId="0" applyNumberFormat="1" applyFont="1" applyBorder="1" applyAlignment="1">
      <alignment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8" fontId="5" fillId="0" borderId="1" xfId="0" applyNumberFormat="1" applyFont="1" applyBorder="1">
      <alignment vertical="center"/>
    </xf>
    <xf numFmtId="183" fontId="5" fillId="0" borderId="1" xfId="0" applyNumberFormat="1" applyFont="1" applyBorder="1">
      <alignment vertical="center"/>
    </xf>
    <xf numFmtId="178" fontId="5" fillId="0" borderId="2" xfId="0" applyNumberFormat="1" applyFont="1" applyBorder="1">
      <alignment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3" xfId="0" applyFont="1" applyBorder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10" fillId="0" borderId="0" xfId="2" applyFont="1">
      <alignment vertical="center"/>
    </xf>
    <xf numFmtId="10" fontId="9" fillId="0" borderId="0" xfId="0" applyNumberFormat="1" applyFont="1">
      <alignment vertical="center"/>
    </xf>
    <xf numFmtId="0" fontId="5" fillId="0" borderId="17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Alignment="1">
      <alignment vertical="top"/>
    </xf>
    <xf numFmtId="0" fontId="5" fillId="0" borderId="1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176" fontId="5" fillId="0" borderId="1" xfId="1" applyNumberFormat="1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38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184" fontId="7" fillId="4" borderId="0" xfId="0" applyNumberFormat="1" applyFont="1" applyFill="1">
      <alignment vertical="center"/>
    </xf>
    <xf numFmtId="0" fontId="8" fillId="4" borderId="1" xfId="2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 inden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38" fontId="20" fillId="0" borderId="0" xfId="1" applyFont="1" applyAlignment="1">
      <alignment vertical="center" shrinkToFit="1"/>
    </xf>
    <xf numFmtId="10" fontId="20" fillId="0" borderId="0" xfId="0" applyNumberFormat="1" applyFont="1">
      <alignment vertical="center"/>
    </xf>
    <xf numFmtId="38" fontId="25" fillId="0" borderId="0" xfId="1" applyFont="1" applyAlignment="1">
      <alignment vertical="center" shrinkToFit="1"/>
    </xf>
    <xf numFmtId="38" fontId="20" fillId="0" borderId="3" xfId="1" applyFont="1" applyBorder="1" applyAlignment="1">
      <alignment vertical="center" shrinkToFit="1"/>
    </xf>
    <xf numFmtId="38" fontId="20" fillId="0" borderId="2" xfId="1" applyFont="1" applyBorder="1" applyAlignment="1">
      <alignment vertical="center" shrinkToFit="1"/>
    </xf>
    <xf numFmtId="38" fontId="20" fillId="0" borderId="22" xfId="1" applyFont="1" applyBorder="1" applyAlignment="1">
      <alignment vertical="center" shrinkToFit="1"/>
    </xf>
    <xf numFmtId="38" fontId="20" fillId="5" borderId="1" xfId="1" applyFont="1" applyFill="1" applyBorder="1" applyAlignment="1">
      <alignment vertical="center" shrinkToFit="1"/>
    </xf>
    <xf numFmtId="38" fontId="20" fillId="5" borderId="3" xfId="1" applyFont="1" applyFill="1" applyBorder="1" applyAlignment="1">
      <alignment vertical="center" shrinkToFit="1"/>
    </xf>
    <xf numFmtId="38" fontId="20" fillId="5" borderId="4" xfId="1" applyFont="1" applyFill="1" applyBorder="1" applyAlignment="1">
      <alignment vertical="center" shrinkToFit="1"/>
    </xf>
    <xf numFmtId="38" fontId="20" fillId="5" borderId="23" xfId="1" applyFont="1" applyFill="1" applyBorder="1" applyAlignment="1">
      <alignment vertical="center" shrinkToFit="1"/>
    </xf>
    <xf numFmtId="38" fontId="20" fillId="5" borderId="6" xfId="1" applyFont="1" applyFill="1" applyBorder="1" applyAlignment="1">
      <alignment vertical="center" shrinkToFit="1"/>
    </xf>
    <xf numFmtId="38" fontId="20" fillId="5" borderId="21" xfId="1" applyFont="1" applyFill="1" applyBorder="1" applyAlignment="1">
      <alignment vertical="center" shrinkToFit="1"/>
    </xf>
    <xf numFmtId="38" fontId="20" fillId="5" borderId="2" xfId="1" applyFont="1" applyFill="1" applyBorder="1" applyAlignment="1">
      <alignment vertical="center" shrinkToFit="1"/>
    </xf>
    <xf numFmtId="38" fontId="23" fillId="5" borderId="5" xfId="1" applyFont="1" applyFill="1" applyBorder="1" applyAlignment="1">
      <alignment horizontal="right" vertical="center" shrinkToFit="1"/>
    </xf>
    <xf numFmtId="38" fontId="26" fillId="5" borderId="5" xfId="1" applyFont="1" applyFill="1" applyBorder="1" applyAlignment="1">
      <alignment horizontal="right" vertical="center"/>
    </xf>
    <xf numFmtId="38" fontId="20" fillId="0" borderId="24" xfId="1" applyFont="1" applyBorder="1" applyAlignment="1">
      <alignment vertical="center" shrinkToFit="1"/>
    </xf>
    <xf numFmtId="38" fontId="20" fillId="0" borderId="5" xfId="1" applyFont="1" applyBorder="1" applyAlignment="1">
      <alignment vertical="center" shrinkToFit="1"/>
    </xf>
    <xf numFmtId="38" fontId="20" fillId="0" borderId="25" xfId="1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38" fontId="25" fillId="5" borderId="2" xfId="1" applyFont="1" applyFill="1" applyBorder="1" applyAlignment="1">
      <alignment vertical="center" shrinkToFit="1"/>
    </xf>
    <xf numFmtId="0" fontId="20" fillId="5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84" fontId="7" fillId="4" borderId="3" xfId="0" applyNumberFormat="1" applyFont="1" applyFill="1" applyBorder="1">
      <alignment vertical="center"/>
    </xf>
    <xf numFmtId="184" fontId="5" fillId="4" borderId="1" xfId="1" applyNumberFormat="1" applyFont="1" applyFill="1" applyBorder="1">
      <alignment vertical="center"/>
    </xf>
    <xf numFmtId="38" fontId="20" fillId="0" borderId="21" xfId="1" applyFont="1" applyBorder="1" applyAlignment="1">
      <alignment horizontal="right" vertical="center" shrinkToFit="1"/>
    </xf>
    <xf numFmtId="0" fontId="5" fillId="3" borderId="7" xfId="0" applyFont="1" applyFill="1" applyBorder="1" applyAlignment="1" applyProtection="1">
      <alignment horizontal="center" vertical="center"/>
      <protection locked="0"/>
    </xf>
    <xf numFmtId="180" fontId="8" fillId="0" borderId="2" xfId="2" applyNumberFormat="1" applyFont="1" applyBorder="1" applyAlignment="1" applyProtection="1">
      <alignment horizontal="center" vertical="center"/>
      <protection locked="0"/>
    </xf>
    <xf numFmtId="177" fontId="8" fillId="0" borderId="13" xfId="2" applyNumberFormat="1" applyFont="1" applyBorder="1" applyAlignment="1" applyProtection="1">
      <alignment vertical="center" shrinkToFit="1"/>
      <protection locked="0"/>
    </xf>
    <xf numFmtId="177" fontId="8" fillId="0" borderId="1" xfId="2" applyNumberFormat="1" applyFont="1" applyBorder="1" applyAlignment="1" applyProtection="1">
      <alignment vertical="center" shrinkToFit="1"/>
      <protection locked="0"/>
    </xf>
    <xf numFmtId="176" fontId="8" fillId="0" borderId="1" xfId="2" applyNumberFormat="1" applyFont="1" applyBorder="1" applyAlignment="1" applyProtection="1">
      <alignment vertical="center" shrinkToFit="1"/>
      <protection locked="0"/>
    </xf>
    <xf numFmtId="176" fontId="8" fillId="0" borderId="19" xfId="2" applyNumberFormat="1" applyFont="1" applyBorder="1" applyAlignment="1" applyProtection="1">
      <alignment vertical="center" shrinkToFit="1"/>
      <protection locked="0"/>
    </xf>
    <xf numFmtId="10" fontId="8" fillId="0" borderId="13" xfId="2" applyNumberFormat="1" applyFont="1" applyBorder="1" applyAlignment="1" applyProtection="1">
      <alignment vertical="center" shrinkToFit="1"/>
      <protection locked="0"/>
    </xf>
    <xf numFmtId="178" fontId="8" fillId="0" borderId="13" xfId="2" applyNumberFormat="1" applyFont="1" applyBorder="1" applyProtection="1">
      <alignment vertical="center"/>
      <protection locked="0"/>
    </xf>
    <xf numFmtId="178" fontId="8" fillId="0" borderId="1" xfId="2" applyNumberFormat="1" applyFont="1" applyBorder="1" applyProtection="1">
      <alignment vertical="center"/>
      <protection locked="0"/>
    </xf>
    <xf numFmtId="178" fontId="8" fillId="0" borderId="19" xfId="2" applyNumberFormat="1" applyFont="1" applyBorder="1" applyProtection="1">
      <alignment vertical="center"/>
      <protection locked="0"/>
    </xf>
    <xf numFmtId="178" fontId="8" fillId="0" borderId="2" xfId="2" applyNumberFormat="1" applyFont="1" applyBorder="1" applyProtection="1">
      <alignment vertical="center"/>
      <protection locked="0"/>
    </xf>
    <xf numFmtId="10" fontId="29" fillId="0" borderId="0" xfId="0" applyNumberFormat="1" applyFont="1">
      <alignment vertical="center"/>
    </xf>
    <xf numFmtId="178" fontId="8" fillId="0" borderId="3" xfId="2" applyNumberFormat="1" applyFont="1" applyBorder="1" applyProtection="1">
      <alignment vertical="center"/>
      <protection locked="0"/>
    </xf>
    <xf numFmtId="38" fontId="20" fillId="0" borderId="0" xfId="1" applyFont="1" applyBorder="1" applyAlignment="1">
      <alignment vertical="center" shrinkToFit="1"/>
    </xf>
    <xf numFmtId="178" fontId="8" fillId="0" borderId="20" xfId="2" applyNumberFormat="1" applyFont="1" applyBorder="1" applyProtection="1">
      <alignment vertical="center"/>
      <protection locked="0"/>
    </xf>
    <xf numFmtId="0" fontId="5" fillId="0" borderId="4" xfId="0" applyFont="1" applyBorder="1">
      <alignment vertical="center"/>
    </xf>
    <xf numFmtId="176" fontId="5" fillId="0" borderId="4" xfId="0" applyNumberFormat="1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23" fillId="4" borderId="2" xfId="2" applyFont="1" applyFill="1" applyBorder="1" applyAlignment="1">
      <alignment horizontal="center" vertical="center"/>
    </xf>
    <xf numFmtId="0" fontId="23" fillId="4" borderId="13" xfId="2" applyFont="1" applyFill="1" applyBorder="1" applyAlignment="1">
      <alignment horizontal="center" vertical="center" shrinkToFit="1"/>
    </xf>
    <xf numFmtId="0" fontId="23" fillId="4" borderId="1" xfId="2" applyFont="1" applyFill="1" applyBorder="1" applyAlignment="1">
      <alignment horizontal="center" vertical="center" shrinkToFit="1"/>
    </xf>
    <xf numFmtId="0" fontId="23" fillId="4" borderId="19" xfId="2" applyFont="1" applyFill="1" applyBorder="1" applyAlignment="1">
      <alignment horizontal="center" vertical="center" shrinkToFit="1"/>
    </xf>
    <xf numFmtId="177" fontId="23" fillId="4" borderId="13" xfId="2" applyNumberFormat="1" applyFont="1" applyFill="1" applyBorder="1" applyAlignment="1">
      <alignment horizontal="center" vertical="center" shrinkToFit="1"/>
    </xf>
    <xf numFmtId="177" fontId="23" fillId="4" borderId="1" xfId="2" applyNumberFormat="1" applyFont="1" applyFill="1" applyBorder="1" applyAlignment="1">
      <alignment horizontal="center" vertical="center" shrinkToFit="1"/>
    </xf>
    <xf numFmtId="10" fontId="23" fillId="4" borderId="13" xfId="2" applyNumberFormat="1" applyFont="1" applyFill="1" applyBorder="1" applyAlignment="1">
      <alignment horizontal="center" vertical="center" shrinkToFit="1"/>
    </xf>
    <xf numFmtId="176" fontId="23" fillId="4" borderId="1" xfId="2" applyNumberFormat="1" applyFont="1" applyFill="1" applyBorder="1" applyAlignment="1">
      <alignment horizontal="center" vertical="center" shrinkToFit="1"/>
    </xf>
    <xf numFmtId="176" fontId="23" fillId="4" borderId="19" xfId="2" applyNumberFormat="1" applyFont="1" applyFill="1" applyBorder="1" applyAlignment="1">
      <alignment horizontal="center" vertical="center" shrinkToFit="1"/>
    </xf>
    <xf numFmtId="176" fontId="23" fillId="4" borderId="13" xfId="2" applyNumberFormat="1" applyFont="1" applyFill="1" applyBorder="1" applyAlignment="1">
      <alignment horizontal="center" vertical="center" shrinkToFit="1"/>
    </xf>
    <xf numFmtId="176" fontId="23" fillId="4" borderId="3" xfId="2" applyNumberFormat="1" applyFont="1" applyFill="1" applyBorder="1" applyAlignment="1">
      <alignment horizontal="center" vertical="center" shrinkToFit="1"/>
    </xf>
    <xf numFmtId="176" fontId="23" fillId="4" borderId="2" xfId="2" applyNumberFormat="1" applyFont="1" applyFill="1" applyBorder="1" applyAlignment="1">
      <alignment horizontal="center" vertical="center" shrinkToFit="1"/>
    </xf>
    <xf numFmtId="0" fontId="23" fillId="4" borderId="1" xfId="2" applyFont="1" applyFill="1" applyBorder="1" applyAlignment="1">
      <alignment horizontal="center" vertical="center"/>
    </xf>
    <xf numFmtId="182" fontId="5" fillId="0" borderId="30" xfId="0" applyNumberFormat="1" applyFont="1" applyBorder="1" applyProtection="1">
      <alignment vertical="center"/>
      <protection locked="0"/>
    </xf>
    <xf numFmtId="182" fontId="5" fillId="0" borderId="31" xfId="0" applyNumberFormat="1" applyFont="1" applyBorder="1" applyProtection="1">
      <alignment vertical="center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82" fontId="31" fillId="0" borderId="37" xfId="0" applyNumberFormat="1" applyFont="1" applyBorder="1" applyAlignment="1" applyProtection="1">
      <alignment horizontal="center" vertical="center"/>
      <protection locked="0"/>
    </xf>
    <xf numFmtId="182" fontId="31" fillId="0" borderId="38" xfId="0" applyNumberFormat="1" applyFont="1" applyBorder="1" applyAlignment="1" applyProtection="1">
      <alignment horizontal="center" vertical="center"/>
      <protection locked="0"/>
    </xf>
    <xf numFmtId="182" fontId="5" fillId="0" borderId="29" xfId="0" applyNumberFormat="1" applyFont="1" applyBorder="1" applyProtection="1">
      <alignment vertical="center"/>
      <protection locked="0"/>
    </xf>
    <xf numFmtId="0" fontId="5" fillId="0" borderId="0" xfId="0" applyFont="1" applyAlignment="1"/>
    <xf numFmtId="0" fontId="9" fillId="0" borderId="0" xfId="0" applyFont="1" applyAlignment="1">
      <alignment vertical="center" shrinkToFit="1"/>
    </xf>
    <xf numFmtId="176" fontId="22" fillId="4" borderId="20" xfId="2" applyNumberFormat="1" applyFont="1" applyFill="1" applyBorder="1" applyAlignment="1">
      <alignment horizontal="center" vertical="center" shrinkToFit="1"/>
    </xf>
    <xf numFmtId="176" fontId="22" fillId="4" borderId="3" xfId="2" applyNumberFormat="1" applyFont="1" applyFill="1" applyBorder="1" applyAlignment="1">
      <alignment horizontal="center" vertical="center" shrinkToFit="1"/>
    </xf>
    <xf numFmtId="176" fontId="22" fillId="4" borderId="2" xfId="2" applyNumberFormat="1" applyFont="1" applyFill="1" applyBorder="1" applyAlignment="1">
      <alignment horizontal="center" vertical="center" shrinkToFit="1"/>
    </xf>
    <xf numFmtId="179" fontId="8" fillId="0" borderId="3" xfId="2" applyNumberFormat="1" applyFont="1" applyBorder="1">
      <alignment vertical="center"/>
    </xf>
    <xf numFmtId="0" fontId="8" fillId="0" borderId="25" xfId="2" applyFont="1" applyBorder="1">
      <alignment vertical="center"/>
    </xf>
    <xf numFmtId="180" fontId="8" fillId="0" borderId="25" xfId="2" applyNumberFormat="1" applyFont="1" applyBorder="1" applyAlignment="1" applyProtection="1">
      <alignment horizontal="center" vertical="center"/>
      <protection locked="0"/>
    </xf>
    <xf numFmtId="177" fontId="8" fillId="0" borderId="25" xfId="2" applyNumberFormat="1" applyFont="1" applyBorder="1" applyAlignment="1" applyProtection="1">
      <alignment vertical="center" shrinkToFit="1"/>
      <protection locked="0"/>
    </xf>
    <xf numFmtId="176" fontId="8" fillId="0" borderId="25" xfId="2" applyNumberFormat="1" applyFont="1" applyBorder="1" applyAlignment="1" applyProtection="1">
      <alignment vertical="center" shrinkToFit="1"/>
      <protection locked="0"/>
    </xf>
    <xf numFmtId="10" fontId="8" fillId="0" borderId="25" xfId="2" applyNumberFormat="1" applyFont="1" applyBorder="1" applyAlignment="1" applyProtection="1">
      <alignment vertical="center" shrinkToFit="1"/>
      <protection locked="0"/>
    </xf>
    <xf numFmtId="178" fontId="8" fillId="0" borderId="25" xfId="2" applyNumberFormat="1" applyFont="1" applyBorder="1" applyProtection="1">
      <alignment vertical="center"/>
      <protection locked="0"/>
    </xf>
    <xf numFmtId="0" fontId="8" fillId="0" borderId="0" xfId="2" applyFont="1">
      <alignment vertical="center"/>
    </xf>
    <xf numFmtId="180" fontId="8" fillId="0" borderId="0" xfId="2" applyNumberFormat="1" applyFont="1" applyAlignment="1" applyProtection="1">
      <alignment horizontal="center" vertical="center"/>
      <protection locked="0"/>
    </xf>
    <xf numFmtId="177" fontId="8" fillId="0" borderId="0" xfId="2" applyNumberFormat="1" applyFont="1" applyAlignment="1" applyProtection="1">
      <alignment vertical="center" shrinkToFit="1"/>
      <protection locked="0"/>
    </xf>
    <xf numFmtId="176" fontId="8" fillId="0" borderId="0" xfId="2" applyNumberFormat="1" applyFont="1" applyAlignment="1" applyProtection="1">
      <alignment vertical="center" shrinkToFit="1"/>
      <protection locked="0"/>
    </xf>
    <xf numFmtId="10" fontId="8" fillId="0" borderId="0" xfId="2" applyNumberFormat="1" applyFont="1" applyAlignment="1" applyProtection="1">
      <alignment vertical="center" shrinkToFit="1"/>
      <protection locked="0"/>
    </xf>
    <xf numFmtId="178" fontId="8" fillId="0" borderId="0" xfId="2" applyNumberFormat="1" applyFont="1" applyProtection="1">
      <alignment vertical="center"/>
      <protection locked="0"/>
    </xf>
    <xf numFmtId="0" fontId="23" fillId="4" borderId="3" xfId="2" applyFont="1" applyFill="1" applyBorder="1" applyAlignment="1">
      <alignment horizontal="center" vertical="center"/>
    </xf>
    <xf numFmtId="178" fontId="8" fillId="0" borderId="23" xfId="2" applyNumberFormat="1" applyFont="1" applyBorder="1" applyProtection="1">
      <alignment vertical="center"/>
      <protection locked="0"/>
    </xf>
    <xf numFmtId="178" fontId="8" fillId="0" borderId="42" xfId="2" applyNumberFormat="1" applyFont="1" applyBorder="1" applyProtection="1">
      <alignment vertical="center"/>
      <protection locked="0"/>
    </xf>
    <xf numFmtId="0" fontId="9" fillId="0" borderId="42" xfId="0" applyFont="1" applyBorder="1">
      <alignment vertical="center"/>
    </xf>
    <xf numFmtId="176" fontId="22" fillId="0" borderId="23" xfId="2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84" fontId="5" fillId="0" borderId="0" xfId="1" applyNumberFormat="1" applyFont="1" applyFill="1" applyBorder="1" applyProtection="1">
      <alignment vertical="center"/>
      <protection locked="0"/>
    </xf>
    <xf numFmtId="0" fontId="5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182" fontId="31" fillId="0" borderId="49" xfId="0" applyNumberFormat="1" applyFont="1" applyBorder="1" applyAlignment="1" applyProtection="1">
      <alignment horizontal="center" vertical="center"/>
      <protection locked="0"/>
    </xf>
    <xf numFmtId="0" fontId="12" fillId="0" borderId="0" xfId="2" applyFont="1" applyAlignment="1"/>
    <xf numFmtId="0" fontId="12" fillId="0" borderId="0" xfId="2" applyFont="1" applyAlignment="1">
      <alignment horizontal="left"/>
    </xf>
    <xf numFmtId="180" fontId="34" fillId="0" borderId="2" xfId="2" applyNumberFormat="1" applyFont="1" applyBorder="1" applyAlignment="1" applyProtection="1">
      <alignment horizontal="center" vertical="center"/>
      <protection locked="0"/>
    </xf>
    <xf numFmtId="177" fontId="34" fillId="0" borderId="1" xfId="2" applyNumberFormat="1" applyFont="1" applyBorder="1" applyAlignment="1" applyProtection="1">
      <alignment vertical="center" shrinkToFit="1"/>
      <protection locked="0"/>
    </xf>
    <xf numFmtId="176" fontId="34" fillId="0" borderId="1" xfId="2" applyNumberFormat="1" applyFont="1" applyBorder="1" applyAlignment="1" applyProtection="1">
      <alignment vertical="center" shrinkToFit="1"/>
      <protection locked="0"/>
    </xf>
    <xf numFmtId="176" fontId="34" fillId="0" borderId="19" xfId="2" applyNumberFormat="1" applyFont="1" applyBorder="1" applyAlignment="1" applyProtection="1">
      <alignment vertical="center" shrinkToFit="1"/>
      <protection locked="0"/>
    </xf>
    <xf numFmtId="10" fontId="34" fillId="0" borderId="13" xfId="2" applyNumberFormat="1" applyFont="1" applyBorder="1" applyAlignment="1" applyProtection="1">
      <alignment vertical="center" shrinkToFit="1"/>
      <protection locked="0"/>
    </xf>
    <xf numFmtId="178" fontId="34" fillId="0" borderId="13" xfId="2" applyNumberFormat="1" applyFont="1" applyBorder="1" applyProtection="1">
      <alignment vertical="center"/>
      <protection locked="0"/>
    </xf>
    <xf numFmtId="178" fontId="34" fillId="0" borderId="1" xfId="2" applyNumberFormat="1" applyFont="1" applyBorder="1" applyProtection="1">
      <alignment vertical="center"/>
      <protection locked="0"/>
    </xf>
    <xf numFmtId="178" fontId="34" fillId="0" borderId="19" xfId="2" applyNumberFormat="1" applyFont="1" applyBorder="1" applyProtection="1">
      <alignment vertical="center"/>
      <protection locked="0"/>
    </xf>
    <xf numFmtId="178" fontId="34" fillId="0" borderId="3" xfId="2" applyNumberFormat="1" applyFont="1" applyBorder="1" applyProtection="1">
      <alignment vertical="center"/>
      <protection locked="0"/>
    </xf>
    <xf numFmtId="178" fontId="34" fillId="0" borderId="2" xfId="2" applyNumberFormat="1" applyFont="1" applyBorder="1" applyProtection="1">
      <alignment vertical="center"/>
      <protection locked="0"/>
    </xf>
    <xf numFmtId="38" fontId="36" fillId="0" borderId="2" xfId="1" applyFont="1" applyBorder="1" applyAlignment="1" applyProtection="1">
      <alignment vertical="center" shrinkToFit="1"/>
      <protection locked="0"/>
    </xf>
    <xf numFmtId="183" fontId="36" fillId="0" borderId="24" xfId="1" applyNumberFormat="1" applyFont="1" applyBorder="1" applyAlignment="1" applyProtection="1">
      <alignment vertical="center" shrinkToFit="1"/>
      <protection locked="0"/>
    </xf>
    <xf numFmtId="38" fontId="36" fillId="0" borderId="5" xfId="1" applyFont="1" applyBorder="1" applyAlignment="1" applyProtection="1">
      <alignment vertical="center" shrinkToFit="1"/>
      <protection locked="0"/>
    </xf>
    <xf numFmtId="38" fontId="36" fillId="0" borderId="25" xfId="1" applyFont="1" applyBorder="1" applyAlignment="1" applyProtection="1">
      <alignment vertical="center" shrinkToFit="1"/>
      <protection locked="0"/>
    </xf>
    <xf numFmtId="38" fontId="36" fillId="0" borderId="1" xfId="1" applyFont="1" applyFill="1" applyBorder="1" applyAlignment="1" applyProtection="1">
      <alignment horizontal="center" vertical="center" shrinkToFit="1"/>
      <protection locked="0"/>
    </xf>
    <xf numFmtId="186" fontId="36" fillId="0" borderId="5" xfId="1" applyNumberFormat="1" applyFont="1" applyBorder="1" applyAlignment="1" applyProtection="1">
      <alignment horizontal="left" vertical="center" shrinkToFit="1"/>
      <protection locked="0"/>
    </xf>
    <xf numFmtId="183" fontId="36" fillId="0" borderId="3" xfId="1" applyNumberFormat="1" applyFont="1" applyBorder="1" applyAlignment="1" applyProtection="1">
      <alignment vertical="center" shrinkToFit="1"/>
      <protection locked="0"/>
    </xf>
    <xf numFmtId="38" fontId="37" fillId="0" borderId="2" xfId="1" applyFont="1" applyBorder="1" applyAlignment="1" applyProtection="1">
      <alignment vertical="center" shrinkToFi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178" fontId="5" fillId="6" borderId="34" xfId="1" applyNumberFormat="1" applyFont="1" applyFill="1" applyBorder="1" applyProtection="1">
      <alignment vertical="center"/>
      <protection locked="0"/>
    </xf>
    <xf numFmtId="178" fontId="5" fillId="6" borderId="20" xfId="1" applyNumberFormat="1" applyFont="1" applyFill="1" applyBorder="1" applyProtection="1">
      <alignment vertical="center"/>
      <protection locked="0"/>
    </xf>
    <xf numFmtId="178" fontId="5" fillId="6" borderId="35" xfId="1" applyNumberFormat="1" applyFont="1" applyFill="1" applyBorder="1" applyProtection="1">
      <alignment vertical="center"/>
      <protection locked="0"/>
    </xf>
    <xf numFmtId="178" fontId="5" fillId="6" borderId="51" xfId="1" applyNumberFormat="1" applyFont="1" applyFill="1" applyBorder="1" applyProtection="1">
      <alignment vertical="center"/>
      <protection locked="0"/>
    </xf>
    <xf numFmtId="178" fontId="5" fillId="6" borderId="50" xfId="1" applyNumberFormat="1" applyFont="1" applyFill="1" applyBorder="1" applyProtection="1">
      <alignment vertical="center"/>
      <protection locked="0"/>
    </xf>
    <xf numFmtId="178" fontId="5" fillId="6" borderId="1" xfId="1" applyNumberFormat="1" applyFont="1" applyFill="1" applyBorder="1" applyProtection="1">
      <alignment vertical="center"/>
      <protection locked="0"/>
    </xf>
    <xf numFmtId="178" fontId="5" fillId="6" borderId="26" xfId="1" applyNumberFormat="1" applyFont="1" applyFill="1" applyBorder="1" applyProtection="1">
      <alignment vertical="center"/>
      <protection locked="0"/>
    </xf>
    <xf numFmtId="178" fontId="5" fillId="6" borderId="45" xfId="1" applyNumberFormat="1" applyFont="1" applyFill="1" applyBorder="1" applyProtection="1">
      <alignment vertical="center"/>
      <protection locked="0"/>
    </xf>
    <xf numFmtId="178" fontId="5" fillId="6" borderId="48" xfId="1" applyNumberFormat="1" applyFont="1" applyFill="1" applyBorder="1" applyProtection="1">
      <alignment vertical="center"/>
      <protection locked="0"/>
    </xf>
    <xf numFmtId="178" fontId="5" fillId="6" borderId="46" xfId="1" applyNumberFormat="1" applyFont="1" applyFill="1" applyBorder="1" applyProtection="1">
      <alignment vertical="center"/>
      <protection locked="0"/>
    </xf>
    <xf numFmtId="184" fontId="5" fillId="0" borderId="2" xfId="1" applyNumberFormat="1" applyFont="1" applyBorder="1" applyAlignment="1">
      <alignment horizontal="center" vertical="center"/>
    </xf>
    <xf numFmtId="184" fontId="5" fillId="0" borderId="5" xfId="1" applyNumberFormat="1" applyFont="1" applyBorder="1" applyAlignment="1">
      <alignment horizontal="center" vertical="center"/>
    </xf>
    <xf numFmtId="184" fontId="5" fillId="0" borderId="3" xfId="1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8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4" fontId="14" fillId="2" borderId="10" xfId="1" applyNumberFormat="1" applyFont="1" applyFill="1" applyBorder="1" applyAlignment="1">
      <alignment horizontal="center" vertical="center"/>
    </xf>
    <xf numFmtId="184" fontId="14" fillId="2" borderId="11" xfId="1" applyNumberFormat="1" applyFont="1" applyFill="1" applyBorder="1" applyAlignment="1">
      <alignment horizontal="center" vertical="center"/>
    </xf>
    <xf numFmtId="184" fontId="14" fillId="2" borderId="12" xfId="1" applyNumberFormat="1" applyFont="1" applyFill="1" applyBorder="1" applyAlignment="1">
      <alignment horizontal="center" vertical="center"/>
    </xf>
    <xf numFmtId="185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8" fontId="20" fillId="5" borderId="2" xfId="1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3" xfId="0" applyFill="1" applyBorder="1" applyAlignment="1">
      <alignment vertical="center" shrinkToFit="1"/>
    </xf>
    <xf numFmtId="0" fontId="20" fillId="5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84" fontId="5" fillId="0" borderId="1" xfId="1" applyNumberFormat="1" applyFont="1" applyBorder="1" applyAlignment="1">
      <alignment horizontal="right" vertical="center"/>
    </xf>
    <xf numFmtId="184" fontId="5" fillId="0" borderId="4" xfId="0" applyNumberFormat="1" applyFont="1" applyBorder="1" applyAlignment="1">
      <alignment horizontal="right" vertical="center"/>
    </xf>
    <xf numFmtId="184" fontId="5" fillId="0" borderId="6" xfId="0" applyNumberFormat="1" applyFont="1" applyBorder="1" applyAlignment="1">
      <alignment horizontal="right" vertical="center"/>
    </xf>
    <xf numFmtId="184" fontId="5" fillId="0" borderId="4" xfId="1" applyNumberFormat="1" applyFont="1" applyBorder="1" applyAlignment="1">
      <alignment horizontal="right" vertical="center"/>
    </xf>
    <xf numFmtId="184" fontId="5" fillId="0" borderId="6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7300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0" dropStyle="combo" dx="16" fmlaLink="'② 計算シート'!$A$22" fmlaRange="'① 算定基礎データ'!$Z$2:$Z$5" noThreeD="1" sel="1" val="0"/>
</file>

<file path=xl/ctrlProps/ctrlProp2.xml><?xml version="1.0" encoding="utf-8"?>
<formControlPr xmlns="http://schemas.microsoft.com/office/spreadsheetml/2009/9/main" objectType="Drop" dropLines="30" dropStyle="combo" dx="16" fmlaLink="'② 計算シート'!$A$23" fmlaRange="'① 算定基礎データ'!$Z$2:$Z$5" sel="3" val="0"/>
</file>

<file path=xl/ctrlProps/ctrlProp3.xml><?xml version="1.0" encoding="utf-8"?>
<formControlPr xmlns="http://schemas.microsoft.com/office/spreadsheetml/2009/9/main" objectType="Drop" dropLines="30" dropStyle="combo" dx="16" fmlaLink="'② 計算シート'!$A$24" fmlaRange="'① 算定基礎データ'!$Z$2:$Z$5" sel="1" val="0"/>
</file>

<file path=xl/ctrlProps/ctrlProp4.xml><?xml version="1.0" encoding="utf-8"?>
<formControlPr xmlns="http://schemas.microsoft.com/office/spreadsheetml/2009/9/main" objectType="Drop" dropLines="30" dropStyle="combo" dx="16" fmlaLink="'② 計算シート'!$A$25" fmlaRange="'① 算定基礎データ'!$Z$2:$Z$5" noThreeD="1" sel="1" val="0"/>
</file>

<file path=xl/ctrlProps/ctrlProp5.xml><?xml version="1.0" encoding="utf-8"?>
<formControlPr xmlns="http://schemas.microsoft.com/office/spreadsheetml/2009/9/main" objectType="Drop" dropLines="30" dropStyle="combo" dx="16" fmlaLink="'② 計算シート'!$A$26" fmlaRange="'① 算定基礎データ'!$Z$2:$Z$5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28575</xdr:rowOff>
        </xdr:from>
        <xdr:to>
          <xdr:col>2</xdr:col>
          <xdr:colOff>0</xdr:colOff>
          <xdr:row>4</xdr:row>
          <xdr:rowOff>342900</xdr:rowOff>
        </xdr:to>
        <xdr:sp macro="" textlink="">
          <xdr:nvSpPr>
            <xdr:cNvPr id="6153" name="Drop Dow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19050</xdr:rowOff>
        </xdr:from>
        <xdr:to>
          <xdr:col>2</xdr:col>
          <xdr:colOff>0</xdr:colOff>
          <xdr:row>5</xdr:row>
          <xdr:rowOff>342900</xdr:rowOff>
        </xdr:to>
        <xdr:sp macro="" textlink="">
          <xdr:nvSpPr>
            <xdr:cNvPr id="6154" name="Drop Dow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19050</xdr:rowOff>
        </xdr:from>
        <xdr:to>
          <xdr:col>2</xdr:col>
          <xdr:colOff>0</xdr:colOff>
          <xdr:row>6</xdr:row>
          <xdr:rowOff>342900</xdr:rowOff>
        </xdr:to>
        <xdr:sp macro="" textlink="">
          <xdr:nvSpPr>
            <xdr:cNvPr id="6155" name="Drop Dow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19050</xdr:rowOff>
        </xdr:from>
        <xdr:to>
          <xdr:col>1</xdr:col>
          <xdr:colOff>1095375</xdr:colOff>
          <xdr:row>7</xdr:row>
          <xdr:rowOff>333375</xdr:rowOff>
        </xdr:to>
        <xdr:sp macro="" textlink="">
          <xdr:nvSpPr>
            <xdr:cNvPr id="6156" name="Drop Dow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9525</xdr:rowOff>
        </xdr:from>
        <xdr:to>
          <xdr:col>1</xdr:col>
          <xdr:colOff>1114425</xdr:colOff>
          <xdr:row>8</xdr:row>
          <xdr:rowOff>333375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535609</xdr:colOff>
      <xdr:row>3</xdr:row>
      <xdr:rowOff>27608</xdr:rowOff>
    </xdr:from>
    <xdr:to>
      <xdr:col>20</xdr:col>
      <xdr:colOff>1656</xdr:colOff>
      <xdr:row>7</xdr:row>
      <xdr:rowOff>24848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10795000" y="524565"/>
          <a:ext cx="117613" cy="659848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31246;&#21209;&#35506;\4&#65294;&#22269;&#27665;&#20581;&#24247;&#20445;&#38522;&#31246;\06%20&#31246;&#38989;&#35430;&#31639;\&#22269;&#27665;&#20581;&#24247;&#20445;&#38522;&#31246;&#31777;&#26131;&#35430;&#31639;&#12471;&#12540;&#12488;&#65288;R5&#24180;&#24230;&#65289;.xlsx" TargetMode="External"/><Relationship Id="rId1" Type="http://schemas.openxmlformats.org/officeDocument/2006/relationships/externalLinkPath" Target="&#22269;&#27665;&#20581;&#24247;&#20445;&#38522;&#31246;&#31777;&#26131;&#35430;&#31639;&#12471;&#12540;&#12488;&#65288;R5&#24180;&#2423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試算シート"/>
      <sheetName val="① 算定基礎データ"/>
      <sheetName val="② 計算シート"/>
    </sheetNames>
    <sheetDataSet>
      <sheetData sheetId="0"/>
      <sheetData sheetId="1">
        <row r="6">
          <cell r="R6">
            <v>430000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K45"/>
  <sheetViews>
    <sheetView tabSelected="1" zoomScale="80" zoomScaleNormal="80" workbookViewId="0">
      <selection activeCell="J9" sqref="J9"/>
    </sheetView>
  </sheetViews>
  <sheetFormatPr defaultColWidth="9" defaultRowHeight="13.5" x14ac:dyDescent="0.15"/>
  <cols>
    <col min="1" max="1" width="11.375" style="6" customWidth="1"/>
    <col min="2" max="2" width="14.875" style="6" customWidth="1"/>
    <col min="3" max="3" width="14.5" style="6" customWidth="1"/>
    <col min="4" max="4" width="14.875" style="6" customWidth="1"/>
    <col min="5" max="10" width="14.5" style="6" customWidth="1"/>
    <col min="11" max="16384" width="9" style="6"/>
  </cols>
  <sheetData>
    <row r="1" spans="1:10" ht="41.25" customHeight="1" x14ac:dyDescent="0.15">
      <c r="A1" s="196" t="s">
        <v>179</v>
      </c>
      <c r="B1" s="196"/>
      <c r="C1" s="196"/>
      <c r="D1" s="196"/>
      <c r="E1" s="196"/>
      <c r="F1" s="196"/>
      <c r="G1" s="196"/>
      <c r="H1" s="196"/>
      <c r="I1" s="196"/>
    </row>
    <row r="2" spans="1:10" ht="14.25" thickBot="1" x14ac:dyDescent="0.2">
      <c r="A2" s="6" t="s">
        <v>113</v>
      </c>
      <c r="F2" s="10"/>
    </row>
    <row r="3" spans="1:10" ht="31.5" customHeight="1" x14ac:dyDescent="0.15">
      <c r="A3" s="199"/>
      <c r="B3" s="197" t="s">
        <v>82</v>
      </c>
      <c r="C3" s="201" t="s">
        <v>158</v>
      </c>
      <c r="D3" s="113" t="s">
        <v>5</v>
      </c>
      <c r="E3" s="146" t="s">
        <v>119</v>
      </c>
      <c r="F3" s="144" t="s">
        <v>159</v>
      </c>
      <c r="G3" s="141"/>
      <c r="H3" s="43" t="s">
        <v>120</v>
      </c>
    </row>
    <row r="4" spans="1:10" ht="24" customHeight="1" thickBot="1" x14ac:dyDescent="0.2">
      <c r="A4" s="200"/>
      <c r="B4" s="198"/>
      <c r="C4" s="202"/>
      <c r="D4" s="114" t="s">
        <v>181</v>
      </c>
      <c r="E4" s="147" t="str">
        <f>D4</f>
        <v>2024年中</v>
      </c>
      <c r="F4" s="145" t="str">
        <f>D4</f>
        <v>2024年中</v>
      </c>
      <c r="G4" s="142"/>
      <c r="H4" s="43" t="s">
        <v>172</v>
      </c>
    </row>
    <row r="5" spans="1:10" ht="27.75" customHeight="1" thickTop="1" x14ac:dyDescent="0.15">
      <c r="A5" s="34" t="s">
        <v>0</v>
      </c>
      <c r="B5" s="117"/>
      <c r="C5" s="151" t="s">
        <v>177</v>
      </c>
      <c r="D5" s="173"/>
      <c r="E5" s="176"/>
      <c r="F5" s="177">
        <f>3227702-1545000</f>
        <v>1682702</v>
      </c>
      <c r="G5" s="143"/>
      <c r="H5" s="6" t="s">
        <v>142</v>
      </c>
    </row>
    <row r="6" spans="1:10" ht="27.75" customHeight="1" x14ac:dyDescent="0.15">
      <c r="A6" s="35" t="s">
        <v>1</v>
      </c>
      <c r="B6" s="111"/>
      <c r="C6" s="115" t="s">
        <v>177</v>
      </c>
      <c r="D6" s="174"/>
      <c r="E6" s="178"/>
      <c r="F6" s="179">
        <v>729748</v>
      </c>
      <c r="G6" s="143"/>
      <c r="H6" s="6" t="s">
        <v>173</v>
      </c>
    </row>
    <row r="7" spans="1:10" ht="27.75" customHeight="1" x14ac:dyDescent="0.15">
      <c r="A7" s="35" t="s">
        <v>2</v>
      </c>
      <c r="B7" s="111"/>
      <c r="C7" s="115"/>
      <c r="D7" s="174"/>
      <c r="E7" s="178"/>
      <c r="F7" s="180"/>
      <c r="G7" s="143"/>
      <c r="H7" s="43" t="s">
        <v>121</v>
      </c>
    </row>
    <row r="8" spans="1:10" ht="27.75" customHeight="1" x14ac:dyDescent="0.15">
      <c r="A8" s="35" t="s">
        <v>3</v>
      </c>
      <c r="B8" s="111"/>
      <c r="C8" s="115"/>
      <c r="D8" s="174"/>
      <c r="E8" s="178"/>
      <c r="F8" s="180"/>
      <c r="G8" s="143"/>
      <c r="H8" s="36" t="s">
        <v>174</v>
      </c>
    </row>
    <row r="9" spans="1:10" ht="27.75" customHeight="1" thickBot="1" x14ac:dyDescent="0.2">
      <c r="A9" s="37" t="s">
        <v>4</v>
      </c>
      <c r="B9" s="112"/>
      <c r="C9" s="116"/>
      <c r="D9" s="175"/>
      <c r="E9" s="181"/>
      <c r="F9" s="182"/>
      <c r="G9" s="143"/>
    </row>
    <row r="10" spans="1:10" ht="27.75" customHeight="1" x14ac:dyDescent="0.55000000000000004">
      <c r="C10" s="118" t="s">
        <v>157</v>
      </c>
    </row>
    <row r="11" spans="1:10" x14ac:dyDescent="0.15">
      <c r="A11" s="6" t="s">
        <v>108</v>
      </c>
    </row>
    <row r="12" spans="1:10" ht="20.25" customHeight="1" x14ac:dyDescent="0.15">
      <c r="A12" s="1"/>
      <c r="B12" s="189" t="s">
        <v>43</v>
      </c>
      <c r="C12" s="189"/>
      <c r="D12" s="189"/>
      <c r="E12" s="189" t="s">
        <v>44</v>
      </c>
      <c r="F12" s="189"/>
      <c r="G12" s="189"/>
      <c r="H12" s="189" t="s">
        <v>114</v>
      </c>
      <c r="I12" s="189"/>
      <c r="J12" s="189"/>
    </row>
    <row r="13" spans="1:10" ht="20.25" customHeight="1" x14ac:dyDescent="0.15">
      <c r="A13" s="1"/>
      <c r="B13" s="38" t="s">
        <v>55</v>
      </c>
      <c r="C13" s="38" t="s">
        <v>50</v>
      </c>
      <c r="D13" s="38" t="s">
        <v>49</v>
      </c>
      <c r="E13" s="38" t="s">
        <v>55</v>
      </c>
      <c r="F13" s="38" t="s">
        <v>50</v>
      </c>
      <c r="G13" s="38" t="s">
        <v>49</v>
      </c>
      <c r="H13" s="38" t="s">
        <v>55</v>
      </c>
      <c r="I13" s="38" t="s">
        <v>50</v>
      </c>
      <c r="J13" s="38" t="s">
        <v>49</v>
      </c>
    </row>
    <row r="14" spans="1:10" ht="20.25" customHeight="1" x14ac:dyDescent="0.15">
      <c r="A14" s="38" t="s">
        <v>46</v>
      </c>
      <c r="B14" s="17">
        <f>'② 計算シート'!I20</f>
        <v>299748</v>
      </c>
      <c r="C14" s="7">
        <f>'② 計算シート'!B2</f>
        <v>8.4029999999999994E-2</v>
      </c>
      <c r="D14" s="17">
        <f>'② 計算シート'!A35</f>
        <v>25187.824439999997</v>
      </c>
      <c r="E14" s="17">
        <f>'② 計算シート'!I20</f>
        <v>299748</v>
      </c>
      <c r="F14" s="7">
        <f>'② 計算シート'!D2</f>
        <v>2.9000000000000001E-2</v>
      </c>
      <c r="G14" s="17">
        <f>'② 計算シート'!A43</f>
        <v>8692.6920000000009</v>
      </c>
      <c r="H14" s="17">
        <f>'② 計算シート'!K20</f>
        <v>299748</v>
      </c>
      <c r="I14" s="7">
        <f>'② 計算シート'!F2</f>
        <v>2.1000000000000001E-2</v>
      </c>
      <c r="J14" s="16">
        <f>'② 計算シート'!A51</f>
        <v>6294.7080000000005</v>
      </c>
    </row>
    <row r="15" spans="1:10" ht="20.25" customHeight="1" x14ac:dyDescent="0.15">
      <c r="A15" s="38" t="s">
        <v>47</v>
      </c>
      <c r="B15" s="39">
        <f>'② 計算シート'!C27</f>
        <v>1</v>
      </c>
      <c r="C15" s="40">
        <f>'② 計算シート'!B4</f>
        <v>35000</v>
      </c>
      <c r="D15" s="17">
        <f>'② 計算シート'!C35</f>
        <v>35000</v>
      </c>
      <c r="E15" s="39">
        <f>'② 計算シート'!C27</f>
        <v>1</v>
      </c>
      <c r="F15" s="8">
        <f>'② 計算シート'!D4</f>
        <v>11500</v>
      </c>
      <c r="G15" s="17">
        <f>'② 計算シート'!C43</f>
        <v>11500</v>
      </c>
      <c r="H15" s="1">
        <f>'② 計算シート'!B27</f>
        <v>1</v>
      </c>
      <c r="I15" s="8">
        <f>'② 計算シート'!F4</f>
        <v>11000</v>
      </c>
      <c r="J15" s="16">
        <f>'② 計算シート'!C51</f>
        <v>11000</v>
      </c>
    </row>
    <row r="16" spans="1:10" ht="20.25" customHeight="1" x14ac:dyDescent="0.15">
      <c r="A16" s="38" t="s">
        <v>48</v>
      </c>
      <c r="B16" s="39">
        <v>1</v>
      </c>
      <c r="C16" s="40">
        <f>'② 計算シート'!B5</f>
        <v>23000</v>
      </c>
      <c r="D16" s="17">
        <f>'② 計算シート'!D35</f>
        <v>23000</v>
      </c>
      <c r="E16" s="39">
        <v>1</v>
      </c>
      <c r="F16" s="8">
        <f>'② 計算シート'!D5</f>
        <v>7000</v>
      </c>
      <c r="G16" s="17">
        <f>'② 計算シート'!D43</f>
        <v>7000</v>
      </c>
      <c r="H16" s="1">
        <f>IF('② 計算シート'!B27=0,0,1)</f>
        <v>1</v>
      </c>
      <c r="I16" s="8">
        <f>'② 計算シート'!F5</f>
        <v>6000</v>
      </c>
      <c r="J16" s="16">
        <f>'② 計算シート'!D51</f>
        <v>6000</v>
      </c>
    </row>
    <row r="17" spans="1:11" ht="20.25" customHeight="1" x14ac:dyDescent="0.15">
      <c r="A17" s="38" t="s">
        <v>51</v>
      </c>
      <c r="B17" s="1" t="str">
        <f>IF(C17='② 計算シート'!B6,"！賦課限度額！","")</f>
        <v/>
      </c>
      <c r="C17" s="183">
        <f>'② 計算シート'!G35</f>
        <v>83187.824439999997</v>
      </c>
      <c r="D17" s="185"/>
      <c r="E17" s="1" t="str">
        <f>IF(F17='② 計算シート'!D6,"！賦課限度額！","")</f>
        <v/>
      </c>
      <c r="F17" s="183">
        <f>'② 計算シート'!G43</f>
        <v>27192.692000000003</v>
      </c>
      <c r="G17" s="185"/>
      <c r="H17" s="1" t="str">
        <f>IF(I17='② 計算シート'!F6,"！賦課限度額！","")</f>
        <v/>
      </c>
      <c r="I17" s="183">
        <f>'② 計算シート'!G51</f>
        <v>23294.707999999999</v>
      </c>
      <c r="J17" s="185"/>
    </row>
    <row r="18" spans="1:11" ht="20.25" customHeight="1" x14ac:dyDescent="0.15">
      <c r="A18" s="189" t="s">
        <v>54</v>
      </c>
      <c r="B18" s="1" t="s">
        <v>52</v>
      </c>
      <c r="C18" s="195" t="str">
        <f>'② 計算シート'!G29</f>
        <v/>
      </c>
      <c r="D18" s="195"/>
      <c r="E18" s="1" t="s">
        <v>52</v>
      </c>
      <c r="F18" s="195" t="str">
        <f>'② 計算シート'!G29</f>
        <v/>
      </c>
      <c r="G18" s="195"/>
      <c r="H18" s="1" t="s">
        <v>52</v>
      </c>
      <c r="I18" s="195" t="str">
        <f>'② 計算シート'!G29</f>
        <v/>
      </c>
      <c r="J18" s="195"/>
    </row>
    <row r="19" spans="1:11" ht="20.25" customHeight="1" x14ac:dyDescent="0.15">
      <c r="A19" s="189"/>
      <c r="B19" s="1" t="s">
        <v>47</v>
      </c>
      <c r="C19" s="188">
        <f>'② 計算シート'!G31</f>
        <v>0</v>
      </c>
      <c r="D19" s="188"/>
      <c r="E19" s="1" t="s">
        <v>47</v>
      </c>
      <c r="F19" s="188">
        <f>'② 計算シート'!G39</f>
        <v>0</v>
      </c>
      <c r="G19" s="188"/>
      <c r="H19" s="1" t="s">
        <v>47</v>
      </c>
      <c r="I19" s="188">
        <f>'② 計算シート'!G47</f>
        <v>0</v>
      </c>
      <c r="J19" s="188"/>
    </row>
    <row r="20" spans="1:11" ht="20.25" customHeight="1" x14ac:dyDescent="0.15">
      <c r="A20" s="189"/>
      <c r="B20" s="1" t="s">
        <v>48</v>
      </c>
      <c r="C20" s="188">
        <f>'② 計算シート'!G33</f>
        <v>0</v>
      </c>
      <c r="D20" s="188"/>
      <c r="E20" s="1" t="s">
        <v>48</v>
      </c>
      <c r="F20" s="188">
        <f>'② 計算シート'!G41</f>
        <v>0</v>
      </c>
      <c r="G20" s="188"/>
      <c r="H20" s="1" t="s">
        <v>48</v>
      </c>
      <c r="I20" s="188">
        <f>'② 計算シート'!G49</f>
        <v>0</v>
      </c>
      <c r="J20" s="188"/>
    </row>
    <row r="21" spans="1:11" ht="18.75" customHeight="1" x14ac:dyDescent="0.15">
      <c r="A21" s="189"/>
      <c r="B21" s="1" t="s">
        <v>53</v>
      </c>
      <c r="C21" s="188">
        <f>SUM(C19:D20)</f>
        <v>0</v>
      </c>
      <c r="D21" s="188"/>
      <c r="E21" s="1" t="s">
        <v>53</v>
      </c>
      <c r="F21" s="188">
        <f>SUM(F19:G20)</f>
        <v>0</v>
      </c>
      <c r="G21" s="188"/>
      <c r="H21" s="1" t="s">
        <v>53</v>
      </c>
      <c r="I21" s="188">
        <f>SUM(I19:J20)</f>
        <v>0</v>
      </c>
      <c r="J21" s="188"/>
    </row>
    <row r="22" spans="1:11" ht="12" hidden="1" customHeight="1" x14ac:dyDescent="0.15">
      <c r="A22" s="190" t="s">
        <v>106</v>
      </c>
      <c r="B22" s="183">
        <f>C17-C21</f>
        <v>83187.824439999997</v>
      </c>
      <c r="C22" s="184"/>
      <c r="D22" s="185"/>
      <c r="E22" s="183">
        <f>F17-F21</f>
        <v>27192.692000000003</v>
      </c>
      <c r="F22" s="184"/>
      <c r="G22" s="185"/>
      <c r="H22" s="183">
        <f>I17-I21</f>
        <v>23294.707999999999</v>
      </c>
      <c r="I22" s="184"/>
      <c r="J22" s="185"/>
    </row>
    <row r="23" spans="1:11" ht="20.25" customHeight="1" x14ac:dyDescent="0.15">
      <c r="A23" s="191"/>
      <c r="B23" s="188">
        <f>ROUNDDOWN(B22,-2)</f>
        <v>83100</v>
      </c>
      <c r="C23" s="189"/>
      <c r="D23" s="189"/>
      <c r="E23" s="188">
        <f>ROUNDDOWN(E22,-2)</f>
        <v>27100</v>
      </c>
      <c r="F23" s="189"/>
      <c r="G23" s="189"/>
      <c r="H23" s="188">
        <f>ROUNDDOWN(H22,-2)</f>
        <v>23200</v>
      </c>
      <c r="I23" s="189"/>
      <c r="J23" s="189"/>
      <c r="K23" s="6" t="s">
        <v>107</v>
      </c>
    </row>
    <row r="24" spans="1:11" ht="14.25" thickBot="1" x14ac:dyDescent="0.2">
      <c r="D24" s="18"/>
    </row>
    <row r="25" spans="1:11" ht="24.75" customHeight="1" thickBot="1" x14ac:dyDescent="0.2">
      <c r="A25" s="186" t="s">
        <v>26</v>
      </c>
      <c r="B25" s="187"/>
      <c r="C25" s="192">
        <f>SUM(B23:J23)</f>
        <v>133400</v>
      </c>
      <c r="D25" s="193"/>
      <c r="E25" s="194"/>
    </row>
    <row r="26" spans="1:11" ht="22.5" customHeight="1" x14ac:dyDescent="0.15">
      <c r="A26" s="152"/>
      <c r="B26" s="153" t="s">
        <v>168</v>
      </c>
    </row>
    <row r="27" spans="1:11" ht="16.5" customHeight="1" x14ac:dyDescent="0.15">
      <c r="B27" s="41" t="s">
        <v>27</v>
      </c>
      <c r="C27" s="41" t="s">
        <v>28</v>
      </c>
      <c r="D27" s="41" t="s">
        <v>29</v>
      </c>
      <c r="E27" s="41" t="s">
        <v>30</v>
      </c>
      <c r="F27" s="41" t="s">
        <v>31</v>
      </c>
      <c r="G27" s="41" t="s">
        <v>32</v>
      </c>
      <c r="H27" s="41" t="s">
        <v>33</v>
      </c>
      <c r="I27" s="41" t="s">
        <v>34</v>
      </c>
    </row>
    <row r="28" spans="1:11" ht="16.5" customHeight="1" x14ac:dyDescent="0.15">
      <c r="B28" s="41" t="s">
        <v>35</v>
      </c>
      <c r="C28" s="41" t="s">
        <v>36</v>
      </c>
      <c r="D28" s="41" t="s">
        <v>37</v>
      </c>
      <c r="E28" s="41" t="s">
        <v>38</v>
      </c>
      <c r="F28" s="41" t="s">
        <v>39</v>
      </c>
      <c r="G28" s="41" t="s">
        <v>40</v>
      </c>
      <c r="H28" s="41" t="s">
        <v>41</v>
      </c>
      <c r="I28" s="41" t="s">
        <v>42</v>
      </c>
    </row>
    <row r="29" spans="1:11" ht="26.25" customHeight="1" x14ac:dyDescent="0.15">
      <c r="B29" s="17">
        <f>C25-(SUM(I29+H29+G29+F29+E29+D29+C29))</f>
        <v>17200</v>
      </c>
      <c r="C29" s="17">
        <f t="shared" ref="C29:H29" si="0">ROUNDDOWN(($C$25/8),-2)</f>
        <v>16600</v>
      </c>
      <c r="D29" s="17">
        <f t="shared" si="0"/>
        <v>16600</v>
      </c>
      <c r="E29" s="17">
        <f t="shared" si="0"/>
        <v>16600</v>
      </c>
      <c r="F29" s="17">
        <f>ROUNDDOWN(($C$25/8),-2)</f>
        <v>16600</v>
      </c>
      <c r="G29" s="17">
        <f>ROUNDDOWN(($C$25/8),-2)</f>
        <v>16600</v>
      </c>
      <c r="H29" s="17">
        <f t="shared" si="0"/>
        <v>16600</v>
      </c>
      <c r="I29" s="17">
        <f>ROUNDDOWN(($C$25/8),-2)</f>
        <v>16600</v>
      </c>
      <c r="J29" s="42"/>
    </row>
    <row r="30" spans="1:11" ht="18.75" customHeight="1" x14ac:dyDescent="0.15">
      <c r="B30" s="148" t="s">
        <v>166</v>
      </c>
    </row>
    <row r="31" spans="1:11" ht="15" customHeight="1" x14ac:dyDescent="0.15"/>
    <row r="32" spans="1:11" ht="18.75" customHeight="1" x14ac:dyDescent="0.15">
      <c r="A32" s="150" t="s">
        <v>25</v>
      </c>
    </row>
    <row r="33" spans="1:5" ht="21" customHeight="1" x14ac:dyDescent="0.15">
      <c r="A33" s="150" t="s">
        <v>169</v>
      </c>
    </row>
    <row r="34" spans="1:5" ht="21" customHeight="1" x14ac:dyDescent="0.15">
      <c r="A34" s="149" t="s">
        <v>109</v>
      </c>
    </row>
    <row r="35" spans="1:5" ht="21" customHeight="1" x14ac:dyDescent="0.15">
      <c r="A35" s="149" t="s">
        <v>110</v>
      </c>
    </row>
    <row r="36" spans="1:5" ht="21" customHeight="1" x14ac:dyDescent="0.15">
      <c r="A36" s="149" t="s">
        <v>170</v>
      </c>
    </row>
    <row r="37" spans="1:5" ht="21" customHeight="1" x14ac:dyDescent="0.15">
      <c r="A37" s="149" t="s">
        <v>115</v>
      </c>
    </row>
    <row r="38" spans="1:5" ht="21" customHeight="1" x14ac:dyDescent="0.15">
      <c r="A38" s="149" t="s">
        <v>111</v>
      </c>
    </row>
    <row r="39" spans="1:5" ht="21" customHeight="1" x14ac:dyDescent="0.15">
      <c r="A39" s="149" t="s">
        <v>112</v>
      </c>
    </row>
    <row r="40" spans="1:5" ht="21" customHeight="1" x14ac:dyDescent="0.15">
      <c r="A40" s="44" t="s">
        <v>167</v>
      </c>
    </row>
    <row r="41" spans="1:5" ht="18.75" customHeight="1" x14ac:dyDescent="0.15">
      <c r="A41" s="45"/>
      <c r="B41" s="46"/>
      <c r="C41" s="46"/>
      <c r="D41" s="46"/>
      <c r="E41" s="46"/>
    </row>
    <row r="42" spans="1:5" x14ac:dyDescent="0.15">
      <c r="A42" s="43"/>
    </row>
    <row r="43" spans="1:5" x14ac:dyDescent="0.15">
      <c r="A43" s="43"/>
    </row>
    <row r="44" spans="1:5" x14ac:dyDescent="0.15">
      <c r="A44" s="43"/>
    </row>
    <row r="45" spans="1:5" x14ac:dyDescent="0.15">
      <c r="A45" s="43"/>
    </row>
  </sheetData>
  <sheetProtection selectLockedCells="1"/>
  <mergeCells count="32">
    <mergeCell ref="A1:I1"/>
    <mergeCell ref="B3:B4"/>
    <mergeCell ref="A3:A4"/>
    <mergeCell ref="C18:D18"/>
    <mergeCell ref="C17:D17"/>
    <mergeCell ref="F17:G17"/>
    <mergeCell ref="B12:D12"/>
    <mergeCell ref="E12:G12"/>
    <mergeCell ref="H12:J12"/>
    <mergeCell ref="A18:A21"/>
    <mergeCell ref="I21:J21"/>
    <mergeCell ref="I20:J20"/>
    <mergeCell ref="I19:J19"/>
    <mergeCell ref="C20:D20"/>
    <mergeCell ref="F21:G21"/>
    <mergeCell ref="C3:C4"/>
    <mergeCell ref="I17:J17"/>
    <mergeCell ref="F19:G19"/>
    <mergeCell ref="F18:G18"/>
    <mergeCell ref="I18:J18"/>
    <mergeCell ref="C21:D21"/>
    <mergeCell ref="F20:G20"/>
    <mergeCell ref="C19:D19"/>
    <mergeCell ref="B22:D22"/>
    <mergeCell ref="E22:G22"/>
    <mergeCell ref="H22:J22"/>
    <mergeCell ref="A25:B25"/>
    <mergeCell ref="H23:J23"/>
    <mergeCell ref="E23:G23"/>
    <mergeCell ref="B23:D23"/>
    <mergeCell ref="A22:A23"/>
    <mergeCell ref="C25:E25"/>
  </mergeCells>
  <phoneticPr fontId="2"/>
  <pageMargins left="0.7" right="0.7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3" r:id="rId4" name="Drop Down 9">
              <controlPr defaultSize="0" autoLine="0" autoPict="0">
                <anchor moveWithCells="1">
                  <from>
                    <xdr:col>1</xdr:col>
                    <xdr:colOff>47625</xdr:colOff>
                    <xdr:row>4</xdr:row>
                    <xdr:rowOff>28575</xdr:rowOff>
                  </from>
                  <to>
                    <xdr:col>2</xdr:col>
                    <xdr:colOff>0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5" name="Drop Down 10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19050</xdr:rowOff>
                  </from>
                  <to>
                    <xdr:col>2</xdr:col>
                    <xdr:colOff>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6" name="Drop Down 11">
              <controlPr defaultSize="0" autoLine="0" autoPict="0">
                <anchor moveWithCells="1">
                  <from>
                    <xdr:col>1</xdr:col>
                    <xdr:colOff>38100</xdr:colOff>
                    <xdr:row>6</xdr:row>
                    <xdr:rowOff>19050</xdr:rowOff>
                  </from>
                  <to>
                    <xdr:col>2</xdr:col>
                    <xdr:colOff>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7" name="Drop Down 12">
              <controlPr defaultSize="0" autoLine="0" autoPict="0">
                <anchor moveWithCells="1">
                  <from>
                    <xdr:col>1</xdr:col>
                    <xdr:colOff>38100</xdr:colOff>
                    <xdr:row>7</xdr:row>
                    <xdr:rowOff>19050</xdr:rowOff>
                  </from>
                  <to>
                    <xdr:col>1</xdr:col>
                    <xdr:colOff>1095375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Drop Down 13">
              <controlPr defaultSize="0" autoLine="0" autoPict="0">
                <anchor moveWithCells="1">
                  <from>
                    <xdr:col>1</xdr:col>
                    <xdr:colOff>38100</xdr:colOff>
                    <xdr:row>8</xdr:row>
                    <xdr:rowOff>9525</xdr:rowOff>
                  </from>
                  <to>
                    <xdr:col>1</xdr:col>
                    <xdr:colOff>1114425</xdr:colOff>
                    <xdr:row>8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948FE1-EB45-43B4-8A06-C6B89DFA46BB}">
          <x14:formula1>
            <xm:f>'② 計算シート'!$E$26:$E$27</xm:f>
          </x14:formula1>
          <xm:sqref>C7:C9 C6 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36"/>
  <sheetViews>
    <sheetView zoomScale="115" zoomScaleNormal="115" workbookViewId="0">
      <selection activeCell="A6" sqref="A6:XFD6"/>
    </sheetView>
  </sheetViews>
  <sheetFormatPr defaultColWidth="9" defaultRowHeight="13.5" x14ac:dyDescent="0.15"/>
  <cols>
    <col min="1" max="1" width="6.375" style="30" customWidth="1"/>
    <col min="2" max="2" width="9.75" style="30" customWidth="1"/>
    <col min="3" max="4" width="5.375" style="30" customWidth="1"/>
    <col min="5" max="6" width="8.5" style="30" bestFit="1" customWidth="1"/>
    <col min="7" max="8" width="5.5" style="30" customWidth="1"/>
    <col min="9" max="10" width="7.625" style="30" bestFit="1" customWidth="1"/>
    <col min="11" max="11" width="5.625" style="33" customWidth="1"/>
    <col min="12" max="12" width="5.625" style="30" customWidth="1"/>
    <col min="13" max="14" width="7.625" style="30" bestFit="1" customWidth="1"/>
    <col min="15" max="15" width="9.75" style="30" customWidth="1"/>
    <col min="16" max="16" width="9.5" style="30" bestFit="1" customWidth="1"/>
    <col min="17" max="19" width="10.375" style="30" customWidth="1"/>
    <col min="20" max="20" width="9.375" style="30" customWidth="1"/>
    <col min="21" max="23" width="11" style="30" customWidth="1"/>
    <col min="24" max="24" width="1.125" style="30" customWidth="1"/>
    <col min="25" max="25" width="6.75" style="30" bestFit="1" customWidth="1"/>
    <col min="26" max="26" width="10.625" style="30" customWidth="1"/>
    <col min="27" max="16384" width="9" style="30"/>
  </cols>
  <sheetData>
    <row r="1" spans="1:26" x14ac:dyDescent="0.15">
      <c r="A1" s="48"/>
      <c r="B1" s="98" t="s">
        <v>6</v>
      </c>
      <c r="C1" s="99" t="s">
        <v>7</v>
      </c>
      <c r="D1" s="100" t="s">
        <v>8</v>
      </c>
      <c r="E1" s="100" t="s">
        <v>9</v>
      </c>
      <c r="F1" s="101" t="s">
        <v>10</v>
      </c>
      <c r="G1" s="102" t="s">
        <v>11</v>
      </c>
      <c r="H1" s="103" t="s">
        <v>12</v>
      </c>
      <c r="I1" s="100" t="s">
        <v>13</v>
      </c>
      <c r="J1" s="101" t="s">
        <v>14</v>
      </c>
      <c r="K1" s="104" t="s">
        <v>15</v>
      </c>
      <c r="L1" s="103" t="s">
        <v>16</v>
      </c>
      <c r="M1" s="100" t="s">
        <v>17</v>
      </c>
      <c r="N1" s="101" t="s">
        <v>18</v>
      </c>
      <c r="O1" s="99" t="s">
        <v>19</v>
      </c>
      <c r="P1" s="105" t="s">
        <v>20</v>
      </c>
      <c r="Q1" s="106" t="s">
        <v>21</v>
      </c>
      <c r="R1" s="107" t="s">
        <v>160</v>
      </c>
      <c r="S1" s="108" t="s">
        <v>147</v>
      </c>
      <c r="T1" s="109" t="s">
        <v>148</v>
      </c>
      <c r="U1" s="120" t="s">
        <v>149</v>
      </c>
      <c r="V1" s="121" t="s">
        <v>150</v>
      </c>
      <c r="W1" s="122" t="s">
        <v>151</v>
      </c>
      <c r="X1" s="140"/>
      <c r="Y1" s="136" t="s">
        <v>22</v>
      </c>
      <c r="Z1" s="110" t="s">
        <v>23</v>
      </c>
    </row>
    <row r="2" spans="1:26" x14ac:dyDescent="0.15">
      <c r="A2" s="31" t="s">
        <v>175</v>
      </c>
      <c r="B2" s="78" t="s">
        <v>176</v>
      </c>
      <c r="C2" s="79">
        <v>8.0199999999999994E-2</v>
      </c>
      <c r="D2" s="80">
        <v>0</v>
      </c>
      <c r="E2" s="81">
        <v>32500</v>
      </c>
      <c r="F2" s="82">
        <v>21500</v>
      </c>
      <c r="G2" s="79">
        <v>2.9000000000000001E-2</v>
      </c>
      <c r="H2" s="80">
        <v>0</v>
      </c>
      <c r="I2" s="81">
        <v>11500</v>
      </c>
      <c r="J2" s="82">
        <v>7000</v>
      </c>
      <c r="K2" s="83">
        <v>1.8599999999999998E-2</v>
      </c>
      <c r="L2" s="80">
        <v>0</v>
      </c>
      <c r="M2" s="81">
        <v>9500</v>
      </c>
      <c r="N2" s="82">
        <v>6000</v>
      </c>
      <c r="O2" s="84">
        <v>650000</v>
      </c>
      <c r="P2" s="85">
        <v>240000</v>
      </c>
      <c r="Q2" s="86">
        <v>170000</v>
      </c>
      <c r="R2" s="89">
        <v>430000</v>
      </c>
      <c r="S2" s="89">
        <v>295000</v>
      </c>
      <c r="T2" s="87">
        <v>545000</v>
      </c>
      <c r="U2" s="91">
        <f>R2+(100000*('② 計算シート'!$D$27-1))</f>
        <v>530000</v>
      </c>
      <c r="V2" s="85">
        <f>R2+(S2*'② 計算シート'!$C$27)+(100000*('② 計算シート'!$D$27-1))</f>
        <v>825000</v>
      </c>
      <c r="W2" s="87">
        <f>R2+(T2*'② 計算シート'!$C$27)+(100000*('② 計算シート'!$D$27-1))</f>
        <v>1075000</v>
      </c>
      <c r="X2" s="137"/>
      <c r="Y2" s="123">
        <v>0</v>
      </c>
      <c r="Z2" s="31" t="s">
        <v>24</v>
      </c>
    </row>
    <row r="3" spans="1:26" x14ac:dyDescent="0.15">
      <c r="A3" s="31" t="s">
        <v>165</v>
      </c>
      <c r="B3" s="154" t="s">
        <v>180</v>
      </c>
      <c r="C3" s="158">
        <v>8.4029999999999994E-2</v>
      </c>
      <c r="D3" s="155">
        <v>0</v>
      </c>
      <c r="E3" s="156">
        <v>35000</v>
      </c>
      <c r="F3" s="157">
        <v>23000</v>
      </c>
      <c r="G3" s="158">
        <v>2.9000000000000001E-2</v>
      </c>
      <c r="H3" s="155">
        <v>0</v>
      </c>
      <c r="I3" s="156">
        <v>11500</v>
      </c>
      <c r="J3" s="157">
        <v>7000</v>
      </c>
      <c r="K3" s="158">
        <v>2.1000000000000001E-2</v>
      </c>
      <c r="L3" s="155">
        <v>0</v>
      </c>
      <c r="M3" s="156">
        <v>11000</v>
      </c>
      <c r="N3" s="157">
        <v>6000</v>
      </c>
      <c r="O3" s="159">
        <v>660000</v>
      </c>
      <c r="P3" s="160">
        <v>260000</v>
      </c>
      <c r="Q3" s="161">
        <v>170000</v>
      </c>
      <c r="R3" s="162">
        <v>430000</v>
      </c>
      <c r="S3" s="162">
        <v>305000</v>
      </c>
      <c r="T3" s="163">
        <v>545000</v>
      </c>
      <c r="U3" s="91">
        <f>R3+(100000*('② 計算シート'!$D$27-1))</f>
        <v>530000</v>
      </c>
      <c r="V3" s="85">
        <f>R3+(S3*'② 計算シート'!$C$27)+(100000*('② 計算シート'!$D$27-1))</f>
        <v>835000</v>
      </c>
      <c r="W3" s="87">
        <f>R3+(T3*'② 計算シート'!$C$27)+(100000*('② 計算シート'!$D$27-1))</f>
        <v>1075000</v>
      </c>
      <c r="X3" s="137"/>
      <c r="Y3" s="123">
        <v>1</v>
      </c>
      <c r="Z3" s="31" t="s">
        <v>116</v>
      </c>
    </row>
    <row r="4" spans="1:26" x14ac:dyDescent="0.15">
      <c r="A4" s="124"/>
      <c r="B4" s="125"/>
      <c r="C4" s="126"/>
      <c r="D4" s="126"/>
      <c r="E4" s="127"/>
      <c r="F4" s="127"/>
      <c r="G4" s="126"/>
      <c r="H4" s="126"/>
      <c r="I4" s="127"/>
      <c r="J4" s="127"/>
      <c r="K4" s="128"/>
      <c r="L4" s="126"/>
      <c r="M4" s="127"/>
      <c r="N4" s="127"/>
      <c r="O4" s="129"/>
      <c r="P4" s="129"/>
      <c r="Q4" s="129"/>
      <c r="R4" s="129"/>
      <c r="S4" s="129"/>
      <c r="T4" s="129"/>
      <c r="U4" s="129"/>
      <c r="V4" s="129"/>
      <c r="W4" s="129"/>
      <c r="X4" s="138"/>
      <c r="Y4" s="123">
        <v>2</v>
      </c>
      <c r="Z4" s="31" t="s">
        <v>117</v>
      </c>
    </row>
    <row r="5" spans="1:26" x14ac:dyDescent="0.15">
      <c r="A5" s="130"/>
      <c r="B5" s="131"/>
      <c r="C5" s="132"/>
      <c r="D5" s="132"/>
      <c r="E5" s="133"/>
      <c r="F5" s="133"/>
      <c r="G5" s="132"/>
      <c r="H5" s="132"/>
      <c r="I5" s="133"/>
      <c r="J5" s="133"/>
      <c r="K5" s="134"/>
      <c r="L5" s="132"/>
      <c r="M5" s="133"/>
      <c r="N5" s="133"/>
      <c r="O5" s="133"/>
      <c r="R5" s="105" t="s">
        <v>161</v>
      </c>
      <c r="V5" s="135"/>
      <c r="W5" s="135"/>
      <c r="X5" s="138"/>
      <c r="Y5" s="123">
        <v>3</v>
      </c>
      <c r="Z5" s="31" t="s">
        <v>118</v>
      </c>
    </row>
    <row r="6" spans="1:26" x14ac:dyDescent="0.15">
      <c r="F6" s="70" t="s">
        <v>136</v>
      </c>
      <c r="R6" s="160">
        <v>430000</v>
      </c>
      <c r="V6" s="135"/>
      <c r="W6" s="135"/>
      <c r="X6" s="138"/>
      <c r="Y6" s="123">
        <v>4</v>
      </c>
      <c r="Z6" s="32"/>
    </row>
    <row r="7" spans="1:26" x14ac:dyDescent="0.15">
      <c r="F7" s="70" t="s">
        <v>171</v>
      </c>
      <c r="V7" s="135"/>
      <c r="W7" s="135"/>
      <c r="X7" s="138"/>
      <c r="Y7" s="123">
        <v>5</v>
      </c>
      <c r="Z7" s="32"/>
    </row>
    <row r="8" spans="1:26" x14ac:dyDescent="0.15">
      <c r="F8" s="70" t="s">
        <v>137</v>
      </c>
      <c r="T8" s="97" t="s">
        <v>178</v>
      </c>
      <c r="X8" s="139"/>
      <c r="Y8" s="123">
        <v>6</v>
      </c>
      <c r="Z8" s="32"/>
    </row>
    <row r="9" spans="1:26" x14ac:dyDescent="0.15">
      <c r="X9" s="139"/>
      <c r="Y9" s="123">
        <v>7</v>
      </c>
      <c r="Z9" s="32"/>
    </row>
    <row r="10" spans="1:26" x14ac:dyDescent="0.15">
      <c r="M10" s="6"/>
      <c r="N10" s="6"/>
      <c r="O10" s="11"/>
      <c r="P10" s="6"/>
      <c r="X10" s="139"/>
      <c r="Y10" s="123">
        <v>8</v>
      </c>
      <c r="Z10" s="32"/>
    </row>
    <row r="11" spans="1:26" x14ac:dyDescent="0.15">
      <c r="B11" s="50" t="s">
        <v>144</v>
      </c>
      <c r="M11" s="6"/>
      <c r="N11" s="6"/>
      <c r="O11" s="6"/>
      <c r="P11" s="6"/>
      <c r="X11" s="139"/>
      <c r="Y11" s="123">
        <v>9</v>
      </c>
      <c r="Z11" s="32"/>
    </row>
    <row r="12" spans="1:26" x14ac:dyDescent="0.15">
      <c r="A12" s="52"/>
      <c r="B12" s="203" t="s">
        <v>128</v>
      </c>
      <c r="C12" s="204"/>
      <c r="D12" s="204"/>
      <c r="E12" s="204"/>
      <c r="F12" s="205"/>
      <c r="G12" s="52"/>
      <c r="H12" s="203" t="s">
        <v>130</v>
      </c>
      <c r="I12" s="204"/>
      <c r="J12" s="204"/>
      <c r="K12" s="206"/>
      <c r="L12" s="52"/>
      <c r="M12" s="6"/>
      <c r="N12" s="6"/>
      <c r="O12" s="6"/>
      <c r="P12" s="6"/>
      <c r="X12" s="139"/>
      <c r="Y12" s="123">
        <v>10</v>
      </c>
      <c r="Z12" s="32"/>
    </row>
    <row r="13" spans="1:26" x14ac:dyDescent="0.15">
      <c r="A13" s="52"/>
      <c r="B13" s="164">
        <v>551000</v>
      </c>
      <c r="C13" s="55" t="s">
        <v>125</v>
      </c>
      <c r="D13" s="60"/>
      <c r="E13" s="56">
        <f>B14-1</f>
        <v>1618999</v>
      </c>
      <c r="F13" s="55" t="s">
        <v>126</v>
      </c>
      <c r="G13" s="52"/>
      <c r="H13" s="76" t="s">
        <v>133</v>
      </c>
      <c r="I13" s="165">
        <v>-550000</v>
      </c>
      <c r="J13" s="67" t="s">
        <v>129</v>
      </c>
      <c r="K13" s="60"/>
      <c r="L13" s="52"/>
      <c r="M13" s="6"/>
      <c r="N13" s="6"/>
      <c r="O13" s="6"/>
      <c r="P13" s="6"/>
      <c r="Q13" s="90"/>
      <c r="R13" s="52"/>
      <c r="S13" s="52"/>
      <c r="T13" s="52"/>
      <c r="U13" s="52"/>
      <c r="X13" s="139"/>
      <c r="Y13" s="123">
        <v>11</v>
      </c>
      <c r="Z13" s="32"/>
    </row>
    <row r="14" spans="1:26" x14ac:dyDescent="0.15">
      <c r="A14" s="52"/>
      <c r="B14" s="164">
        <v>1619000</v>
      </c>
      <c r="C14" s="55" t="s">
        <v>125</v>
      </c>
      <c r="D14" s="61"/>
      <c r="E14" s="56">
        <f>B15-1</f>
        <v>1619999</v>
      </c>
      <c r="F14" s="55" t="s">
        <v>126</v>
      </c>
      <c r="G14" s="52"/>
      <c r="H14" s="60"/>
      <c r="I14" s="166">
        <v>1069000</v>
      </c>
      <c r="J14" s="68" t="s">
        <v>129</v>
      </c>
      <c r="K14" s="61"/>
      <c r="L14" s="52"/>
      <c r="M14" s="6"/>
      <c r="N14" s="6"/>
      <c r="O14" s="6"/>
      <c r="P14" s="6"/>
      <c r="Q14" s="90"/>
      <c r="R14" s="52"/>
      <c r="S14" s="52"/>
      <c r="T14" s="52"/>
      <c r="U14" s="52"/>
      <c r="X14" s="139"/>
      <c r="Y14" s="123">
        <v>12</v>
      </c>
      <c r="Z14" s="32"/>
    </row>
    <row r="15" spans="1:26" x14ac:dyDescent="0.15">
      <c r="A15" s="52"/>
      <c r="B15" s="164">
        <v>1620000</v>
      </c>
      <c r="C15" s="55" t="s">
        <v>125</v>
      </c>
      <c r="D15" s="61"/>
      <c r="E15" s="56">
        <f>B16-1</f>
        <v>1621999</v>
      </c>
      <c r="F15" s="55" t="s">
        <v>126</v>
      </c>
      <c r="G15" s="52"/>
      <c r="H15" s="61"/>
      <c r="I15" s="166">
        <v>1070000</v>
      </c>
      <c r="J15" s="68" t="s">
        <v>129</v>
      </c>
      <c r="K15" s="61"/>
      <c r="L15" s="52"/>
      <c r="M15" s="6"/>
      <c r="N15" s="6"/>
      <c r="O15" s="6"/>
      <c r="P15" s="11"/>
      <c r="Q15" s="90"/>
      <c r="R15" s="52"/>
      <c r="S15" s="52"/>
      <c r="T15" s="52"/>
      <c r="U15" s="52"/>
    </row>
    <row r="16" spans="1:26" x14ac:dyDescent="0.15">
      <c r="A16" s="52"/>
      <c r="B16" s="164">
        <v>1622000</v>
      </c>
      <c r="C16" s="55" t="s">
        <v>125</v>
      </c>
      <c r="D16" s="61"/>
      <c r="E16" s="56">
        <f>B17-1</f>
        <v>1623999</v>
      </c>
      <c r="F16" s="55" t="s">
        <v>126</v>
      </c>
      <c r="G16" s="52"/>
      <c r="H16" s="61"/>
      <c r="I16" s="166">
        <v>1072000</v>
      </c>
      <c r="J16" s="68" t="s">
        <v>129</v>
      </c>
      <c r="K16" s="61"/>
      <c r="L16" s="52"/>
      <c r="M16" s="90"/>
      <c r="N16" s="6"/>
      <c r="O16" s="6"/>
      <c r="P16" s="6"/>
      <c r="Q16" s="90"/>
      <c r="R16" s="52"/>
      <c r="S16" s="52"/>
      <c r="T16" s="52"/>
      <c r="U16" s="52"/>
    </row>
    <row r="17" spans="1:21" s="52" customFormat="1" ht="11.25" x14ac:dyDescent="0.15">
      <c r="B17" s="164">
        <v>1624000</v>
      </c>
      <c r="C17" s="55" t="s">
        <v>125</v>
      </c>
      <c r="D17" s="61"/>
      <c r="E17" s="56">
        <f>B18-1</f>
        <v>1627999</v>
      </c>
      <c r="F17" s="55" t="s">
        <v>126</v>
      </c>
      <c r="H17" s="62"/>
      <c r="I17" s="167">
        <v>1074000</v>
      </c>
      <c r="J17" s="69" t="s">
        <v>129</v>
      </c>
      <c r="K17" s="61"/>
      <c r="M17" s="90"/>
      <c r="N17" s="90"/>
      <c r="O17" s="90"/>
      <c r="P17" s="90"/>
      <c r="Q17" s="90"/>
    </row>
    <row r="18" spans="1:21" s="52" customFormat="1" ht="12" x14ac:dyDescent="0.15">
      <c r="B18" s="164">
        <v>1628000</v>
      </c>
      <c r="C18" s="55" t="s">
        <v>125</v>
      </c>
      <c r="D18" s="61"/>
      <c r="E18" s="56">
        <f t="shared" ref="E18:E21" si="0">B19-1</f>
        <v>1799999</v>
      </c>
      <c r="F18" s="55" t="s">
        <v>126</v>
      </c>
      <c r="H18" s="58" t="s">
        <v>131</v>
      </c>
      <c r="I18" s="65" t="s">
        <v>135</v>
      </c>
      <c r="J18" s="169">
        <v>2.4</v>
      </c>
      <c r="K18" s="170">
        <v>100000</v>
      </c>
      <c r="N18" s="90"/>
      <c r="O18" s="90"/>
      <c r="P18" s="90"/>
      <c r="Q18" s="90"/>
    </row>
    <row r="19" spans="1:21" s="52" customFormat="1" ht="12" x14ac:dyDescent="0.15">
      <c r="B19" s="164">
        <v>1800000</v>
      </c>
      <c r="C19" s="55" t="s">
        <v>125</v>
      </c>
      <c r="D19" s="61"/>
      <c r="E19" s="56">
        <f t="shared" si="0"/>
        <v>3599999</v>
      </c>
      <c r="F19" s="55" t="s">
        <v>126</v>
      </c>
      <c r="H19" s="168">
        <v>4</v>
      </c>
      <c r="I19" s="65" t="s">
        <v>135</v>
      </c>
      <c r="J19" s="169">
        <v>2.8</v>
      </c>
      <c r="K19" s="170">
        <v>-80000</v>
      </c>
    </row>
    <row r="20" spans="1:21" s="52" customFormat="1" ht="12" x14ac:dyDescent="0.15">
      <c r="B20" s="164">
        <v>3600000</v>
      </c>
      <c r="C20" s="55" t="s">
        <v>125</v>
      </c>
      <c r="D20" s="61"/>
      <c r="E20" s="56">
        <f t="shared" si="0"/>
        <v>6599999</v>
      </c>
      <c r="F20" s="55" t="s">
        <v>126</v>
      </c>
      <c r="H20" s="58" t="s">
        <v>132</v>
      </c>
      <c r="I20" s="65" t="s">
        <v>135</v>
      </c>
      <c r="J20" s="169">
        <v>3.2</v>
      </c>
      <c r="K20" s="170">
        <v>-440000</v>
      </c>
    </row>
    <row r="21" spans="1:21" s="52" customFormat="1" ht="12" x14ac:dyDescent="0.15">
      <c r="B21" s="164">
        <v>6600000</v>
      </c>
      <c r="C21" s="55" t="s">
        <v>125</v>
      </c>
      <c r="D21" s="61"/>
      <c r="E21" s="56">
        <f t="shared" si="0"/>
        <v>8499999</v>
      </c>
      <c r="F21" s="55" t="s">
        <v>126</v>
      </c>
      <c r="H21" s="64"/>
      <c r="I21" s="66" t="s">
        <v>134</v>
      </c>
      <c r="J21" s="169">
        <v>0.9</v>
      </c>
      <c r="K21" s="170">
        <v>-1100000</v>
      </c>
    </row>
    <row r="22" spans="1:21" s="52" customFormat="1" ht="12" x14ac:dyDescent="0.15">
      <c r="B22" s="164">
        <v>8500000</v>
      </c>
      <c r="C22" s="55" t="s">
        <v>127</v>
      </c>
      <c r="D22" s="63"/>
      <c r="E22" s="64"/>
      <c r="F22" s="59"/>
      <c r="H22" s="64"/>
      <c r="I22" s="66" t="s">
        <v>134</v>
      </c>
      <c r="J22" s="169">
        <v>1</v>
      </c>
      <c r="K22" s="170">
        <v>-1950000</v>
      </c>
    </row>
    <row r="23" spans="1:21" s="52" customFormat="1" ht="11.25" x14ac:dyDescent="0.15">
      <c r="I23" s="54"/>
    </row>
    <row r="24" spans="1:21" s="52" customFormat="1" ht="11.25" x14ac:dyDescent="0.1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3"/>
      <c r="L24" s="50"/>
      <c r="M24" s="50"/>
    </row>
    <row r="25" spans="1:21" s="52" customFormat="1" x14ac:dyDescent="0.15">
      <c r="A25" s="30"/>
      <c r="B25" s="50" t="s">
        <v>143</v>
      </c>
      <c r="C25" s="30"/>
      <c r="D25" s="30"/>
      <c r="E25" s="30"/>
      <c r="F25" s="30"/>
      <c r="G25" s="30"/>
      <c r="H25" s="30"/>
      <c r="I25" s="30"/>
      <c r="J25" s="30"/>
      <c r="K25" s="33"/>
      <c r="L25" s="30"/>
      <c r="M25" s="30"/>
      <c r="N25" s="50"/>
      <c r="O25" s="50"/>
      <c r="P25" s="50"/>
      <c r="Q25" s="50"/>
      <c r="R25" s="50"/>
      <c r="S25" s="50"/>
      <c r="T25" s="50"/>
      <c r="U25" s="50"/>
    </row>
    <row r="26" spans="1:21" s="52" customFormat="1" x14ac:dyDescent="0.15">
      <c r="A26" s="30"/>
      <c r="B26" s="203" t="s">
        <v>140</v>
      </c>
      <c r="C26" s="204"/>
      <c r="D26" s="204"/>
      <c r="E26" s="204"/>
      <c r="F26" s="205"/>
      <c r="G26" s="72" t="s">
        <v>138</v>
      </c>
      <c r="H26" s="207" t="s">
        <v>141</v>
      </c>
      <c r="I26" s="208"/>
      <c r="J26" s="30"/>
      <c r="K26" s="33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s="52" customFormat="1" x14ac:dyDescent="0.15">
      <c r="A27" s="30"/>
      <c r="B27" s="71"/>
      <c r="C27" s="59"/>
      <c r="D27" s="60"/>
      <c r="E27" s="56">
        <f>B28-1</f>
        <v>1299999</v>
      </c>
      <c r="F27" s="55" t="s">
        <v>126</v>
      </c>
      <c r="G27" s="73">
        <v>1</v>
      </c>
      <c r="H27" s="171">
        <v>600000</v>
      </c>
      <c r="I27" s="57" t="s">
        <v>129</v>
      </c>
      <c r="J27" s="30"/>
      <c r="K27" s="88" t="s">
        <v>145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s="52" customFormat="1" x14ac:dyDescent="0.15">
      <c r="A28" s="30"/>
      <c r="B28" s="164">
        <v>1300000</v>
      </c>
      <c r="C28" s="55" t="s">
        <v>125</v>
      </c>
      <c r="D28" s="61"/>
      <c r="E28" s="56">
        <f>B29-1</f>
        <v>4099999</v>
      </c>
      <c r="F28" s="55" t="s">
        <v>126</v>
      </c>
      <c r="G28" s="172">
        <v>0.75</v>
      </c>
      <c r="H28" s="171">
        <v>275000</v>
      </c>
      <c r="I28" s="55" t="s">
        <v>129</v>
      </c>
      <c r="J28" s="30"/>
      <c r="K28" s="88" t="s">
        <v>146</v>
      </c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s="50" customFormat="1" x14ac:dyDescent="0.15">
      <c r="A29" s="30"/>
      <c r="B29" s="164">
        <v>4100000</v>
      </c>
      <c r="C29" s="55" t="s">
        <v>125</v>
      </c>
      <c r="D29" s="61"/>
      <c r="E29" s="56">
        <f>B30-1</f>
        <v>7699999</v>
      </c>
      <c r="F29" s="55" t="s">
        <v>126</v>
      </c>
      <c r="G29" s="172">
        <v>0.85</v>
      </c>
      <c r="H29" s="171">
        <v>685000</v>
      </c>
      <c r="I29" s="55" t="s">
        <v>129</v>
      </c>
      <c r="J29" s="30"/>
      <c r="K29" s="33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x14ac:dyDescent="0.15">
      <c r="B30" s="164">
        <v>7700000</v>
      </c>
      <c r="C30" s="55" t="s">
        <v>127</v>
      </c>
      <c r="D30" s="62"/>
      <c r="E30" s="64"/>
      <c r="F30" s="59"/>
      <c r="G30" s="172">
        <v>0.95</v>
      </c>
      <c r="H30" s="171">
        <v>1455000</v>
      </c>
      <c r="I30" s="55" t="s">
        <v>129</v>
      </c>
    </row>
    <row r="31" spans="1:21" x14ac:dyDescent="0.15">
      <c r="B31" s="50"/>
      <c r="H31" s="119"/>
      <c r="I31" s="119"/>
    </row>
    <row r="32" spans="1:21" x14ac:dyDescent="0.15">
      <c r="B32" s="203" t="s">
        <v>139</v>
      </c>
      <c r="C32" s="204"/>
      <c r="D32" s="204"/>
      <c r="E32" s="204"/>
      <c r="F32" s="205"/>
      <c r="G32" s="72" t="s">
        <v>138</v>
      </c>
      <c r="H32" s="209" t="s">
        <v>141</v>
      </c>
      <c r="I32" s="210"/>
    </row>
    <row r="33" spans="2:9" x14ac:dyDescent="0.15">
      <c r="B33" s="71"/>
      <c r="C33" s="59"/>
      <c r="D33" s="60"/>
      <c r="E33" s="56">
        <f>B34-1</f>
        <v>3299999</v>
      </c>
      <c r="F33" s="55" t="s">
        <v>126</v>
      </c>
      <c r="G33" s="73">
        <v>1</v>
      </c>
      <c r="H33" s="171">
        <v>1100000</v>
      </c>
      <c r="I33" s="57" t="s">
        <v>129</v>
      </c>
    </row>
    <row r="34" spans="2:9" x14ac:dyDescent="0.15">
      <c r="B34" s="164">
        <v>3300000</v>
      </c>
      <c r="C34" s="55" t="s">
        <v>125</v>
      </c>
      <c r="D34" s="61"/>
      <c r="E34" s="56">
        <f>B35-1</f>
        <v>4099999</v>
      </c>
      <c r="F34" s="55" t="s">
        <v>126</v>
      </c>
      <c r="G34" s="172">
        <v>0.75</v>
      </c>
      <c r="H34" s="171">
        <v>275000</v>
      </c>
      <c r="I34" s="55" t="s">
        <v>129</v>
      </c>
    </row>
    <row r="35" spans="2:9" x14ac:dyDescent="0.15">
      <c r="B35" s="164">
        <v>4100000</v>
      </c>
      <c r="C35" s="55" t="s">
        <v>125</v>
      </c>
      <c r="D35" s="61"/>
      <c r="E35" s="56">
        <f>B36-1</f>
        <v>7699999</v>
      </c>
      <c r="F35" s="55" t="s">
        <v>126</v>
      </c>
      <c r="G35" s="172">
        <v>0.85</v>
      </c>
      <c r="H35" s="171">
        <v>685000</v>
      </c>
      <c r="I35" s="55" t="s">
        <v>129</v>
      </c>
    </row>
    <row r="36" spans="2:9" x14ac:dyDescent="0.15">
      <c r="B36" s="164">
        <v>7700000</v>
      </c>
      <c r="C36" s="55" t="s">
        <v>127</v>
      </c>
      <c r="D36" s="62"/>
      <c r="E36" s="64"/>
      <c r="F36" s="59"/>
      <c r="G36" s="172">
        <v>0.95</v>
      </c>
      <c r="H36" s="171">
        <v>1455000</v>
      </c>
      <c r="I36" s="55" t="s">
        <v>129</v>
      </c>
    </row>
  </sheetData>
  <mergeCells count="6">
    <mergeCell ref="B12:F12"/>
    <mergeCell ref="H12:K12"/>
    <mergeCell ref="B26:F26"/>
    <mergeCell ref="B32:F32"/>
    <mergeCell ref="H26:I26"/>
    <mergeCell ref="H32:I32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51"/>
  <sheetViews>
    <sheetView zoomScale="85" zoomScaleNormal="85" workbookViewId="0">
      <selection activeCell="G30" sqref="G30"/>
    </sheetView>
  </sheetViews>
  <sheetFormatPr defaultColWidth="9" defaultRowHeight="13.5" x14ac:dyDescent="0.15"/>
  <cols>
    <col min="1" max="12" width="17.5" style="6" customWidth="1"/>
    <col min="13" max="13" width="11.625" style="6" customWidth="1"/>
    <col min="14" max="16384" width="9" style="6"/>
  </cols>
  <sheetData>
    <row r="1" spans="1:12" ht="14.25" thickBot="1" x14ac:dyDescent="0.2">
      <c r="A1" s="1" t="s">
        <v>56</v>
      </c>
      <c r="B1" s="2" t="e">
        <f>VLOOKUP(G1,'① 算定基礎データ'!A1:Y14,2,0)</f>
        <v>#N/A</v>
      </c>
      <c r="C1" s="1" t="s">
        <v>162</v>
      </c>
      <c r="D1" s="3">
        <v>12</v>
      </c>
      <c r="E1" s="1" t="s">
        <v>163</v>
      </c>
      <c r="F1" s="4">
        <f>IF(B27&gt;=1,12,0)</f>
        <v>12</v>
      </c>
      <c r="G1" s="77">
        <v>6</v>
      </c>
    </row>
    <row r="2" spans="1:12" x14ac:dyDescent="0.15">
      <c r="A2" s="1" t="s">
        <v>57</v>
      </c>
      <c r="B2" s="7">
        <f>'① 算定基礎データ'!C3</f>
        <v>8.4029999999999994E-2</v>
      </c>
      <c r="C2" s="1" t="s">
        <v>61</v>
      </c>
      <c r="D2" s="7">
        <f>'① 算定基礎データ'!G3</f>
        <v>2.9000000000000001E-2</v>
      </c>
      <c r="E2" s="1" t="s">
        <v>66</v>
      </c>
      <c r="F2" s="7">
        <f>'① 算定基礎データ'!K3</f>
        <v>2.1000000000000001E-2</v>
      </c>
      <c r="G2" s="49" t="s">
        <v>123</v>
      </c>
      <c r="H2" s="5" t="s">
        <v>122</v>
      </c>
    </row>
    <row r="3" spans="1:12" x14ac:dyDescent="0.15">
      <c r="A3" s="1" t="s">
        <v>58</v>
      </c>
      <c r="B3" s="7">
        <f>'① 算定基礎データ'!D3</f>
        <v>0</v>
      </c>
      <c r="C3" s="1" t="s">
        <v>62</v>
      </c>
      <c r="D3" s="7">
        <f>'① 算定基礎データ'!H3</f>
        <v>0</v>
      </c>
      <c r="E3" s="1" t="s">
        <v>67</v>
      </c>
      <c r="F3" s="7">
        <f>'① 算定基礎データ'!L3</f>
        <v>0</v>
      </c>
    </row>
    <row r="4" spans="1:12" x14ac:dyDescent="0.15">
      <c r="A4" s="1" t="s">
        <v>59</v>
      </c>
      <c r="B4" s="8">
        <f>'① 算定基礎データ'!E3</f>
        <v>35000</v>
      </c>
      <c r="C4" s="1" t="s">
        <v>63</v>
      </c>
      <c r="D4" s="8">
        <f>'① 算定基礎データ'!I3</f>
        <v>11500</v>
      </c>
      <c r="E4" s="1" t="s">
        <v>68</v>
      </c>
      <c r="F4" s="8">
        <f>'① 算定基礎データ'!M3</f>
        <v>11000</v>
      </c>
    </row>
    <row r="5" spans="1:12" x14ac:dyDescent="0.15">
      <c r="A5" s="1" t="s">
        <v>60</v>
      </c>
      <c r="B5" s="8">
        <f>'① 算定基礎データ'!F3</f>
        <v>23000</v>
      </c>
      <c r="C5" s="1" t="s">
        <v>64</v>
      </c>
      <c r="D5" s="8">
        <f>'① 算定基礎データ'!J3</f>
        <v>7000</v>
      </c>
      <c r="E5" s="1" t="s">
        <v>69</v>
      </c>
      <c r="F5" s="8">
        <f>'① 算定基礎データ'!N3</f>
        <v>6000</v>
      </c>
      <c r="G5" s="8" t="s">
        <v>155</v>
      </c>
      <c r="H5" s="1" t="s">
        <v>154</v>
      </c>
      <c r="I5" s="8" t="s">
        <v>156</v>
      </c>
    </row>
    <row r="6" spans="1:12" x14ac:dyDescent="0.15">
      <c r="A6" s="1" t="s">
        <v>43</v>
      </c>
      <c r="B6" s="8">
        <f>'① 算定基礎データ'!O3</f>
        <v>660000</v>
      </c>
      <c r="C6" s="1" t="s">
        <v>65</v>
      </c>
      <c r="D6" s="8">
        <f>'① 算定基礎データ'!P3</f>
        <v>260000</v>
      </c>
      <c r="E6" s="1" t="s">
        <v>45</v>
      </c>
      <c r="F6" s="8">
        <f>'① 算定基礎データ'!Q3</f>
        <v>170000</v>
      </c>
      <c r="G6" s="8">
        <f>'① 算定基礎データ'!U3</f>
        <v>530000</v>
      </c>
      <c r="H6" s="8">
        <f>'① 算定基礎データ'!V3</f>
        <v>835000</v>
      </c>
      <c r="I6" s="8">
        <f>'① 算定基礎データ'!W3</f>
        <v>1075000</v>
      </c>
    </row>
    <row r="7" spans="1:12" x14ac:dyDescent="0.15">
      <c r="C7" s="9"/>
      <c r="D7" s="9"/>
      <c r="E7" s="10"/>
      <c r="F7" s="11"/>
    </row>
    <row r="8" spans="1:12" ht="14.25" x14ac:dyDescent="0.15">
      <c r="A8" s="51" t="s">
        <v>124</v>
      </c>
      <c r="B8" s="11"/>
      <c r="D8" s="11"/>
      <c r="F8" s="11"/>
    </row>
    <row r="9" spans="1:12" x14ac:dyDescent="0.15">
      <c r="A9" s="12" t="s">
        <v>75</v>
      </c>
      <c r="B9" s="13" t="s">
        <v>76</v>
      </c>
      <c r="C9" s="13" t="s">
        <v>96</v>
      </c>
      <c r="D9" s="216" t="s">
        <v>97</v>
      </c>
      <c r="E9" s="216"/>
      <c r="F9" s="12" t="s">
        <v>77</v>
      </c>
      <c r="G9" s="13" t="s">
        <v>83</v>
      </c>
      <c r="H9" s="14" t="s">
        <v>94</v>
      </c>
      <c r="I9" s="14" t="s">
        <v>95</v>
      </c>
      <c r="J9" s="15" t="s">
        <v>78</v>
      </c>
      <c r="K9" s="1" t="s">
        <v>104</v>
      </c>
      <c r="L9" s="1" t="s">
        <v>105</v>
      </c>
    </row>
    <row r="10" spans="1:12" x14ac:dyDescent="0.15">
      <c r="A10" s="16">
        <f>IF(試算シート!D5&lt;'① 算定基礎データ'!B$18,IF(試算シート!D5&lt;'① 算定基礎データ'!B$17,IF(試算シート!D5&lt;'① 算定基礎データ'!B$16,IF(試算シート!D5&lt;'① 算定基礎データ'!B$15,IF(試算シート!D5&lt;'① 算定基礎データ'!B$14,IF(試算シート!D5&lt;'① 算定基礎データ'!B$13,0,試算シート!D5+'① 算定基礎データ'!I$13),'① 算定基礎データ'!I$14),'① 算定基礎データ'!I$15),'① 算定基礎データ'!I$16),'① 算定基礎データ'!I$17),0)</f>
        <v>0</v>
      </c>
      <c r="B10" s="17">
        <f>IF(A22&lt;=3,IF(試算シート!E5&lt;'① 算定基礎データ'!B$30,IF(試算シート!E5&lt;'① 算定基礎データ'!B$29,IF(試算シート!E5&lt;'① 算定基礎データ'!B$28,IF(試算シート!E5&lt;'① 算定基礎データ'!H$27+1,0,ROUNDDOWN(試算シート!E5-'① 算定基礎データ'!H$27,0)),ROUNDDOWN(試算シート!E5*'① 算定基礎データ'!G$34-'① 算定基礎データ'!H$34,0)),ROUNDDOWN(試算シート!E5*'① 算定基礎データ'!G$35-'① 算定基礎データ'!H$35,0)),ROUNDDOWN(試算シート!E5*'① 算定基礎データ'!G$36-'① 算定基礎データ'!H$36,0)),0)</f>
        <v>0</v>
      </c>
      <c r="C10" s="211">
        <f>SUM(B10:B11)</f>
        <v>0</v>
      </c>
      <c r="D10" s="211">
        <f>IF(A22=4,C10-150000,C10)</f>
        <v>0</v>
      </c>
      <c r="E10" s="211">
        <f>IF(D10&lt;0,0,D10)</f>
        <v>0</v>
      </c>
      <c r="F10" s="212">
        <f>試算シート!F5</f>
        <v>1682702</v>
      </c>
      <c r="G10" s="212">
        <f>(SUM(A10:A11)+C10+F10)</f>
        <v>1682702</v>
      </c>
      <c r="H10" s="212">
        <f>IF((SUM(A10:A11)+E10+F10)&lt;=0,0,(SUM(A10:A11)+E10+F10))</f>
        <v>1682702</v>
      </c>
      <c r="I10" s="214">
        <f>IF(A22=1,0,IF(G10&lt;'[1]① 算定基礎データ'!R6,0,G10-'[1]① 算定基礎データ'!R6))</f>
        <v>0</v>
      </c>
      <c r="J10" s="212">
        <f>IF(A22=1,0,[1]試算シート!G5)</f>
        <v>0</v>
      </c>
      <c r="K10" s="211">
        <f>IF(E46=0,0,I10)</f>
        <v>0</v>
      </c>
      <c r="L10" s="211">
        <f>IF(E46=0,0,J10)</f>
        <v>0</v>
      </c>
    </row>
    <row r="11" spans="1:12" x14ac:dyDescent="0.15">
      <c r="A11" s="47">
        <f>IF(試算シート!D5&lt;'① 算定基礎データ'!B$22,IF(試算シート!D5&lt;'① 算定基礎データ'!B$21,IF(試算シート!D5&lt;'① 算定基礎データ'!B$20,IF(試算シート!D5&lt;'① 算定基礎データ'!B$19,IF(試算シート!D5&lt;'① 算定基礎データ'!B$18,0,ROUNDDOWN(試算シート!D5/'① 算定基礎データ'!H$19,-3)*'① 算定基礎データ'!J$18),ROUNDDOWN(試算シート!D5/'① 算定基礎データ'!H$19,-3)*'① 算定基礎データ'!J$19+'① 算定基礎データ'!K$19),ROUNDDOWN(試算シート!D5/4,-3)*'① 算定基礎データ'!J$20+'① 算定基礎データ'!K$20),ROUNDDOWN(試算シート!D5*'① 算定基礎データ'!J$21+'① 算定基礎データ'!K$21,0)),ROUNDDOWN(試算シート!D5+'① 算定基礎データ'!K$22,0))</f>
        <v>0</v>
      </c>
      <c r="B11" s="75">
        <f>IF(A22=4,IF(試算シート!E5&lt;'① 算定基礎データ'!B$36,IF(試算シート!E5&lt;'① 算定基礎データ'!B$35,IF(試算シート!E5&lt;'① 算定基礎データ'!B$34,IF(試算シート!E5&lt;'① 算定基礎データ'!H$33+1,0,ROUNDDOWN(試算シート!E5-'① 算定基礎データ'!H$33,0)),ROUNDDOWN(試算シート!E5*'① 算定基礎データ'!G$34-'① 算定基礎データ'!H$34,0)),ROUNDDOWN(試算シート!E5*'① 算定基礎データ'!G$35-'① 算定基礎データ'!H$35,0)),ROUNDDOWN(試算シート!E5*'① 算定基礎データ'!G$36-'① 算定基礎データ'!H$36,0)),0)</f>
        <v>0</v>
      </c>
      <c r="C11" s="211"/>
      <c r="D11" s="211"/>
      <c r="E11" s="211"/>
      <c r="F11" s="213"/>
      <c r="G11" s="213"/>
      <c r="H11" s="213"/>
      <c r="I11" s="215"/>
      <c r="J11" s="213"/>
      <c r="K11" s="211"/>
      <c r="L11" s="211"/>
    </row>
    <row r="12" spans="1:12" x14ac:dyDescent="0.15">
      <c r="A12" s="16">
        <f>IF(試算シート!D6&lt;'① 算定基礎データ'!B$18,IF(試算シート!D6&lt;'① 算定基礎データ'!B$17,IF(試算シート!D6&lt;'① 算定基礎データ'!B$16,IF(試算シート!D6&lt;'① 算定基礎データ'!B$15,IF(試算シート!D6&lt;'① 算定基礎データ'!B$14,IF(試算シート!D6&lt;'① 算定基礎データ'!B$13,0,試算シート!D6+'① 算定基礎データ'!I$13),'① 算定基礎データ'!I$14),'① 算定基礎データ'!I$15),'① 算定基礎データ'!I$16),'① 算定基礎データ'!I$17),0)</f>
        <v>0</v>
      </c>
      <c r="B12" s="17">
        <f>IF(A23&lt;=3,IF(試算シート!E6&lt;'① 算定基礎データ'!B$30,IF(試算シート!E6&lt;'① 算定基礎データ'!B$29,IF(試算シート!E6&lt;'① 算定基礎データ'!B$28,IF(試算シート!E6&lt;'① 算定基礎データ'!H$27+1,0,ROUNDDOWN(試算シート!E6-'① 算定基礎データ'!H$27,0)),ROUNDDOWN(試算シート!E6*'① 算定基礎データ'!G$34-'① 算定基礎データ'!H$34,0)),ROUNDDOWN(試算シート!E6*'① 算定基礎データ'!G$35-'① 算定基礎データ'!H$35,0)),ROUNDDOWN(試算シート!E6*'① 算定基礎データ'!G$36-'① 算定基礎データ'!H$36,0)),0)</f>
        <v>0</v>
      </c>
      <c r="C12" s="211">
        <f>SUM(B12:B13)</f>
        <v>0</v>
      </c>
      <c r="D12" s="211">
        <f>IF(A23=4,C12-150000,C12)</f>
        <v>0</v>
      </c>
      <c r="E12" s="211">
        <f>IF(D12&lt;0,0,D12)</f>
        <v>0</v>
      </c>
      <c r="F12" s="212">
        <f>試算シート!F6</f>
        <v>729748</v>
      </c>
      <c r="G12" s="212">
        <f>(SUM(A12:A13)+C12+F12)</f>
        <v>729748</v>
      </c>
      <c r="H12" s="212">
        <f>IF((SUM(A12:A13)+E12+F12)&lt;=0,0,SUM(A12:A13)+E12+F12)</f>
        <v>729748</v>
      </c>
      <c r="I12" s="214">
        <f>IF(A23=1,0,IF(G12&lt;430000,0,G12-430000))</f>
        <v>299748</v>
      </c>
      <c r="J12" s="212">
        <f>IF(A23=1,0,[1]試算シート!G6)</f>
        <v>0</v>
      </c>
      <c r="K12" s="211">
        <f>IF(E47=0,0,I12)</f>
        <v>299748</v>
      </c>
      <c r="L12" s="211">
        <f>IF(E47=0,0,J12)</f>
        <v>0</v>
      </c>
    </row>
    <row r="13" spans="1:12" x14ac:dyDescent="0.15">
      <c r="A13" s="47">
        <f>IF(試算シート!D6&lt;'① 算定基礎データ'!B$22,IF(試算シート!D6&lt;'① 算定基礎データ'!B$21,IF(試算シート!D6&lt;'① 算定基礎データ'!B$20,IF(試算シート!D6&lt;'① 算定基礎データ'!B$19,IF(試算シート!D6&lt;'① 算定基礎データ'!B$18,0,ROUNDDOWN(試算シート!D6/'① 算定基礎データ'!H$19,-3)*'① 算定基礎データ'!J$18),ROUNDDOWN(試算シート!D6/'① 算定基礎データ'!H$19,-3)*'① 算定基礎データ'!J$19+'① 算定基礎データ'!K$19),ROUNDDOWN(試算シート!D6/4,-3)*'① 算定基礎データ'!J$20+'① 算定基礎データ'!K$20),ROUNDDOWN(試算シート!D6*'① 算定基礎データ'!J$21+'① 算定基礎データ'!K$21,0)),ROUNDDOWN(試算シート!D6+'① 算定基礎データ'!K$22,0))</f>
        <v>0</v>
      </c>
      <c r="B13" s="75">
        <f>IF(A23=4,IF(試算シート!E6&lt;'① 算定基礎データ'!B$36,IF(試算シート!E6&lt;'① 算定基礎データ'!B$35,IF(試算シート!E6&lt;'① 算定基礎データ'!B$34,IF(試算シート!E6&lt;'① 算定基礎データ'!H$33+1,0,ROUNDDOWN(試算シート!E6-'① 算定基礎データ'!H$33,0)),ROUNDDOWN(試算シート!E6*'① 算定基礎データ'!G$34-'① 算定基礎データ'!H$34,0)),ROUNDDOWN(試算シート!E6*'① 算定基礎データ'!G$35-'① 算定基礎データ'!H$35,0)),ROUNDDOWN(試算シート!E6*'① 算定基礎データ'!G$36-'① 算定基礎データ'!H$36,0)),0)</f>
        <v>0</v>
      </c>
      <c r="C13" s="211"/>
      <c r="D13" s="211"/>
      <c r="E13" s="211"/>
      <c r="F13" s="213"/>
      <c r="G13" s="213"/>
      <c r="H13" s="213"/>
      <c r="I13" s="215"/>
      <c r="J13" s="213"/>
      <c r="K13" s="211"/>
      <c r="L13" s="211"/>
    </row>
    <row r="14" spans="1:12" x14ac:dyDescent="0.15">
      <c r="A14" s="16">
        <f>IF(試算シート!D7&lt;'① 算定基礎データ'!B$18,IF(試算シート!D7&lt;'① 算定基礎データ'!B$17,IF(試算シート!D7&lt;'① 算定基礎データ'!B$16,IF(試算シート!D7&lt;'① 算定基礎データ'!B$15,IF(試算シート!D7&lt;'① 算定基礎データ'!B$14,IF(試算シート!D7&lt;'① 算定基礎データ'!B$13,0,試算シート!D7+'① 算定基礎データ'!I$13),'① 算定基礎データ'!I$14),'① 算定基礎データ'!I$15),'① 算定基礎データ'!I$16),'① 算定基礎データ'!I$17),0)</f>
        <v>0</v>
      </c>
      <c r="B14" s="17">
        <f>IF(A24&lt;=3,IF(試算シート!E7&lt;'① 算定基礎データ'!B$30,IF(試算シート!E7&lt;'① 算定基礎データ'!B$29,IF(試算シート!E7&lt;'① 算定基礎データ'!B$28,IF(試算シート!E7&lt;'① 算定基礎データ'!H$27+1,0,ROUNDDOWN(試算シート!E7-'① 算定基礎データ'!H$27,0)),ROUNDDOWN(試算シート!E7*'① 算定基礎データ'!G$34-'① 算定基礎データ'!H$34,0)),ROUNDDOWN(試算シート!E7*'① 算定基礎データ'!G$35-'① 算定基礎データ'!H$35,0)),ROUNDDOWN(試算シート!E7*'① 算定基礎データ'!G$36-'① 算定基礎データ'!H$36,0)),0)</f>
        <v>0</v>
      </c>
      <c r="C14" s="211">
        <f>SUM(B14:B15)</f>
        <v>0</v>
      </c>
      <c r="D14" s="211">
        <f>IF(A24=4,C14-150000,C14)</f>
        <v>0</v>
      </c>
      <c r="E14" s="211">
        <f>IF(D14&lt;0,0,D14)</f>
        <v>0</v>
      </c>
      <c r="F14" s="212">
        <f>試算シート!F7</f>
        <v>0</v>
      </c>
      <c r="G14" s="212">
        <f>(SUM(A14:A15)+C14+F14)</f>
        <v>0</v>
      </c>
      <c r="H14" s="212">
        <f>IF((SUM(A14:A15)+E14+F14)&lt;=0,0,SUM(A14:A15)+E14+F14)</f>
        <v>0</v>
      </c>
      <c r="I14" s="214">
        <f>IF(A24=1,0,IF(G14&lt;430000,0,G14-430000))</f>
        <v>0</v>
      </c>
      <c r="J14" s="212">
        <f>IF(A24=1,0,[1]試算シート!G7)</f>
        <v>0</v>
      </c>
      <c r="K14" s="211">
        <f>IF(E48=0,0,I14)</f>
        <v>0</v>
      </c>
      <c r="L14" s="211">
        <f>IF(E48=0,0,J14)</f>
        <v>0</v>
      </c>
    </row>
    <row r="15" spans="1:12" x14ac:dyDescent="0.15">
      <c r="A15" s="47">
        <f>IF(試算シート!D7&lt;'① 算定基礎データ'!B$22,IF(試算シート!D7&lt;'① 算定基礎データ'!B$21,IF(試算シート!D7&lt;'① 算定基礎データ'!B$20,IF(試算シート!D7&lt;'① 算定基礎データ'!B$19,IF(試算シート!D7&lt;'① 算定基礎データ'!B$18,0,ROUNDDOWN(試算シート!D7/'① 算定基礎データ'!H$19,-3)*'① 算定基礎データ'!J$18),ROUNDDOWN(試算シート!D7/'① 算定基礎データ'!H$19,-3)*'① 算定基礎データ'!J$19+'① 算定基礎データ'!K$19),ROUNDDOWN(試算シート!D7/4,-3)*'① 算定基礎データ'!J$20+'① 算定基礎データ'!K$20),ROUNDDOWN(試算シート!D7*'① 算定基礎データ'!J$21+'① 算定基礎データ'!K$21,0)),ROUNDDOWN(試算シート!D7+'① 算定基礎データ'!K$22,0))</f>
        <v>0</v>
      </c>
      <c r="B15" s="75">
        <f>IF(A24=4,IF(試算シート!E7&lt;'① 算定基礎データ'!B$36,IF(試算シート!E7&lt;'① 算定基礎データ'!B$35,IF(試算シート!E7&lt;'① 算定基礎データ'!B$34,IF(試算シート!E7&lt;'① 算定基礎データ'!H$33+1,0,ROUNDDOWN(試算シート!E7-'① 算定基礎データ'!H$33,0)),ROUNDDOWN(試算シート!E7*'① 算定基礎データ'!G$34-'① 算定基礎データ'!H$34,0)),ROUNDDOWN(試算シート!E7*'① 算定基礎データ'!G$35-'① 算定基礎データ'!H$35,0)),ROUNDDOWN(試算シート!E7*'① 算定基礎データ'!G$36-'① 算定基礎データ'!H$36,0)),0)</f>
        <v>0</v>
      </c>
      <c r="C15" s="211"/>
      <c r="D15" s="211"/>
      <c r="E15" s="211"/>
      <c r="F15" s="213"/>
      <c r="G15" s="213"/>
      <c r="H15" s="213"/>
      <c r="I15" s="215"/>
      <c r="J15" s="213"/>
      <c r="K15" s="211"/>
      <c r="L15" s="211"/>
    </row>
    <row r="16" spans="1:12" x14ac:dyDescent="0.15">
      <c r="A16" s="16">
        <f>IF(試算シート!D8&lt;'① 算定基礎データ'!B$18,IF(試算シート!D8&lt;'① 算定基礎データ'!B$17,IF(試算シート!D8&lt;'① 算定基礎データ'!B$16,IF(試算シート!D8&lt;'① 算定基礎データ'!B$15,IF(試算シート!D8&lt;'① 算定基礎データ'!B$14,IF(試算シート!D8&lt;'① 算定基礎データ'!B$13,0,試算シート!D8+'① 算定基礎データ'!I$13),'① 算定基礎データ'!I$14),'① 算定基礎データ'!I$15),'① 算定基礎データ'!I$16),'① 算定基礎データ'!I$17),0)</f>
        <v>0</v>
      </c>
      <c r="B16" s="17">
        <f>IF(A25&lt;=3,IF(試算シート!E8&lt;'① 算定基礎データ'!B$30,IF(試算シート!E8&lt;'① 算定基礎データ'!B$29,IF(試算シート!E8&lt;'① 算定基礎データ'!B$28,IF(試算シート!E8&lt;'① 算定基礎データ'!H$27+1,0,ROUNDDOWN(試算シート!E8-'① 算定基礎データ'!H$27,0)),ROUNDDOWN(試算シート!E8*'① 算定基礎データ'!G$34-'① 算定基礎データ'!H$34,0)),ROUNDDOWN(試算シート!E8*'① 算定基礎データ'!G$35-'① 算定基礎データ'!H$35,0)),ROUNDDOWN(試算シート!E8*'① 算定基礎データ'!G$36-'① 算定基礎データ'!H$36,0)),0)</f>
        <v>0</v>
      </c>
      <c r="C16" s="211">
        <f>SUM(B16:B17)</f>
        <v>0</v>
      </c>
      <c r="D16" s="211">
        <f>IF(A25=4,C16-150000,C16)</f>
        <v>0</v>
      </c>
      <c r="E16" s="211">
        <f>IF(D16&lt;0,0,D16)</f>
        <v>0</v>
      </c>
      <c r="F16" s="212">
        <f>試算シート!F8</f>
        <v>0</v>
      </c>
      <c r="G16" s="212">
        <f>(SUM(A16:A17)+C16+F16)</f>
        <v>0</v>
      </c>
      <c r="H16" s="212">
        <f>IF((SUM(A16:A17)+E16+F16)&lt;=0,0,SUM(A16:A17)+E16+F16)</f>
        <v>0</v>
      </c>
      <c r="I16" s="214">
        <f>IF(A25=1,0,IF(G16&lt;430000,0,G16-430000))</f>
        <v>0</v>
      </c>
      <c r="J16" s="212">
        <f>IF(A25=1,0,[1]試算シート!G8)</f>
        <v>0</v>
      </c>
      <c r="K16" s="211">
        <f>IF(E49=0,0,I16)</f>
        <v>0</v>
      </c>
      <c r="L16" s="211">
        <f>IF(E49=0,0,J16)</f>
        <v>0</v>
      </c>
    </row>
    <row r="17" spans="1:12" x14ac:dyDescent="0.15">
      <c r="A17" s="47">
        <f>IF(試算シート!D8&lt;'① 算定基礎データ'!B$22,IF(試算シート!D8&lt;'① 算定基礎データ'!B$21,IF(試算シート!D8&lt;'① 算定基礎データ'!B$20,IF(試算シート!D8&lt;'① 算定基礎データ'!B$19,IF(試算シート!D8&lt;'① 算定基礎データ'!B$18,0,ROUNDDOWN(試算シート!D8/'① 算定基礎データ'!H$19,-3)*'① 算定基礎データ'!J$18),ROUNDDOWN(試算シート!D8/'① 算定基礎データ'!H$19,-3)*'① 算定基礎データ'!J$19+'① 算定基礎データ'!K$19),ROUNDDOWN(試算シート!D8/4,-3)*'① 算定基礎データ'!J$20+'① 算定基礎データ'!K$20),ROUNDDOWN(試算シート!D8*'① 算定基礎データ'!J$21+'① 算定基礎データ'!K$21,0)),ROUNDDOWN(試算シート!D8+'① 算定基礎データ'!K$22,0))</f>
        <v>0</v>
      </c>
      <c r="B17" s="75">
        <f>IF(A25=4,IF(試算シート!E8&lt;'① 算定基礎データ'!B$36,IF(試算シート!E8&lt;'① 算定基礎データ'!B$35,IF(試算シート!E8&lt;'① 算定基礎データ'!B$34,IF(試算シート!E8&lt;'① 算定基礎データ'!H$33+1,0,ROUNDDOWN(試算シート!E8-'① 算定基礎データ'!H$33,0)),ROUNDDOWN(試算シート!E8*'① 算定基礎データ'!G$34-'① 算定基礎データ'!H$34,0)),ROUNDDOWN(試算シート!E8*'① 算定基礎データ'!G$35-'① 算定基礎データ'!H$35,0)),ROUNDDOWN(試算シート!E8*'① 算定基礎データ'!G$36-'① 算定基礎データ'!H$36,0)),0)</f>
        <v>0</v>
      </c>
      <c r="C17" s="211"/>
      <c r="D17" s="211"/>
      <c r="E17" s="211"/>
      <c r="F17" s="213"/>
      <c r="G17" s="213"/>
      <c r="H17" s="213"/>
      <c r="I17" s="215"/>
      <c r="J17" s="213"/>
      <c r="K17" s="211"/>
      <c r="L17" s="211"/>
    </row>
    <row r="18" spans="1:12" x14ac:dyDescent="0.15">
      <c r="A18" s="16">
        <f>IF(試算シート!D9&lt;'① 算定基礎データ'!B$18,IF(試算シート!D9&lt;'① 算定基礎データ'!B$17,IF(試算シート!D9&lt;'① 算定基礎データ'!B$16,IF(試算シート!D9&lt;'① 算定基礎データ'!B$15,IF(試算シート!D9&lt;'① 算定基礎データ'!B$14,IF(試算シート!D9&lt;'① 算定基礎データ'!B$13,0,試算シート!D9+'① 算定基礎データ'!I$13),'① 算定基礎データ'!I$14),'① 算定基礎データ'!I$15),'① 算定基礎データ'!I$16),'① 算定基礎データ'!I$17),0)</f>
        <v>0</v>
      </c>
      <c r="B18" s="17">
        <f>IF(A26&lt;=3,IF(試算シート!E9&lt;'① 算定基礎データ'!B$30,IF(試算シート!E9&lt;'① 算定基礎データ'!B$29,IF(試算シート!E9&lt;'① 算定基礎データ'!B$28,IF(試算シート!E9&lt;'① 算定基礎データ'!H$27+1,0,ROUNDDOWN(試算シート!E9-'① 算定基礎データ'!H$27,0)),ROUNDDOWN(試算シート!E9*'① 算定基礎データ'!G$34-'① 算定基礎データ'!H$34,0)),ROUNDDOWN(試算シート!E9*'① 算定基礎データ'!G$35-'① 算定基礎データ'!H$35,0)),ROUNDDOWN(試算シート!E9*'① 算定基礎データ'!G$36-'① 算定基礎データ'!H$36,0)),0)</f>
        <v>0</v>
      </c>
      <c r="C18" s="211">
        <f>SUM(B18:B19)</f>
        <v>0</v>
      </c>
      <c r="D18" s="211">
        <f>IF(A26=4,C18-150000,C18)</f>
        <v>0</v>
      </c>
      <c r="E18" s="211">
        <f>IF(D18&lt;0,0,D18)</f>
        <v>0</v>
      </c>
      <c r="F18" s="212">
        <f>試算シート!F9</f>
        <v>0</v>
      </c>
      <c r="G18" s="212">
        <f>(SUM(A18:A19)+C18+F18)</f>
        <v>0</v>
      </c>
      <c r="H18" s="212">
        <f>IF((SUM(A18:A19)+E18+F18)&lt;=0,0,SUM(A18:A19)+E18+F18)</f>
        <v>0</v>
      </c>
      <c r="I18" s="214">
        <f>IF(A26=1,0,IF(G18&lt;430000,0,G18-430000))</f>
        <v>0</v>
      </c>
      <c r="J18" s="212">
        <f>IF(A26=1,0,[1]試算シート!G9)</f>
        <v>0</v>
      </c>
      <c r="K18" s="211">
        <f>IF(E50=0,0,I18)</f>
        <v>0</v>
      </c>
      <c r="L18" s="211">
        <f>IF(E50=0,0,J18)</f>
        <v>0</v>
      </c>
    </row>
    <row r="19" spans="1:12" x14ac:dyDescent="0.15">
      <c r="A19" s="74">
        <f>IF(試算シート!D9&lt;'① 算定基礎データ'!B$22,IF(試算シート!D9&lt;'① 算定基礎データ'!B$21,IF(試算シート!D9&lt;'① 算定基礎データ'!B$20,IF(試算シート!D9&lt;'① 算定基礎データ'!B$19,IF(試算シート!D9&lt;'① 算定基礎データ'!B$18,0,ROUNDDOWN(試算シート!D9/'① 算定基礎データ'!H$19,-3)*'① 算定基礎データ'!J$18),ROUNDDOWN(試算シート!D9/'① 算定基礎データ'!H$19,-3)*'① 算定基礎データ'!J$19+'① 算定基礎データ'!K$19),ROUNDDOWN(試算シート!D9/4,-3)*'① 算定基礎データ'!J$20+'① 算定基礎データ'!K$20),ROUNDDOWN(試算シート!D9*'① 算定基礎データ'!J$21+'① 算定基礎データ'!K$21,0)),ROUNDDOWN(試算シート!D9+'① 算定基礎データ'!K$22,0))</f>
        <v>0</v>
      </c>
      <c r="B19" s="75">
        <f>IF(A26=4,IF(試算シート!E9&lt;'① 算定基礎データ'!B$36,IF(試算シート!E9&lt;'① 算定基礎データ'!B$35,IF(試算シート!E9&lt;'① 算定基礎データ'!B$34,IF(試算シート!E9&lt;'① 算定基礎データ'!H$33+1,0,ROUNDDOWN(試算シート!E9-'① 算定基礎データ'!H$33,0)),ROUNDDOWN(試算シート!E9*'① 算定基礎データ'!G$34-'① 算定基礎データ'!H$34,0)),ROUNDDOWN(試算シート!E9*'① 算定基礎データ'!G$35-'① 算定基礎データ'!H$35,0)),ROUNDDOWN(試算シート!E9*'① 算定基礎データ'!G$36-'① 算定基礎データ'!H$36,0)),0)</f>
        <v>0</v>
      </c>
      <c r="C19" s="211"/>
      <c r="D19" s="211"/>
      <c r="E19" s="211"/>
      <c r="F19" s="213"/>
      <c r="G19" s="213"/>
      <c r="H19" s="213"/>
      <c r="I19" s="215"/>
      <c r="J19" s="213"/>
      <c r="K19" s="211"/>
      <c r="L19" s="211"/>
    </row>
    <row r="20" spans="1:12" x14ac:dyDescent="0.15">
      <c r="B20" s="18"/>
      <c r="C20" s="18"/>
      <c r="D20" s="18"/>
      <c r="E20" s="18"/>
      <c r="F20" s="18"/>
      <c r="G20" s="18"/>
      <c r="H20" s="16">
        <f>SUM(H10:H19)</f>
        <v>2412450</v>
      </c>
      <c r="I20" s="16">
        <f>SUM(I10:I19)</f>
        <v>299748</v>
      </c>
      <c r="J20" s="16">
        <f>SUM(J10:J19)</f>
        <v>0</v>
      </c>
      <c r="K20" s="16">
        <f>SUM(K10:K19)</f>
        <v>299748</v>
      </c>
      <c r="L20" s="19">
        <f>SUM(L10:L19)</f>
        <v>0</v>
      </c>
    </row>
    <row r="21" spans="1:12" x14ac:dyDescent="0.15">
      <c r="A21" s="20" t="s">
        <v>80</v>
      </c>
      <c r="B21" s="1" t="s">
        <v>79</v>
      </c>
      <c r="C21" s="8" t="s">
        <v>81</v>
      </c>
      <c r="F21" s="11"/>
    </row>
    <row r="22" spans="1:12" x14ac:dyDescent="0.15">
      <c r="A22" s="1">
        <v>1</v>
      </c>
      <c r="B22" s="1">
        <f>IF(A22=3,1,0)</f>
        <v>0</v>
      </c>
      <c r="C22" s="1">
        <f>IF(A22&gt;1,1,0)</f>
        <v>0</v>
      </c>
      <c r="F22" s="11"/>
    </row>
    <row r="23" spans="1:12" x14ac:dyDescent="0.15">
      <c r="A23" s="1">
        <v>3</v>
      </c>
      <c r="B23" s="1">
        <f>IF(A23=3,1,0)</f>
        <v>1</v>
      </c>
      <c r="C23" s="1">
        <f t="shared" ref="C23:C26" si="0">IF(A23&gt;1,1,0)</f>
        <v>1</v>
      </c>
      <c r="F23" s="11"/>
    </row>
    <row r="24" spans="1:12" x14ac:dyDescent="0.15">
      <c r="A24" s="1">
        <v>1</v>
      </c>
      <c r="B24" s="1">
        <f>IF(A24=3,1,0)</f>
        <v>0</v>
      </c>
      <c r="C24" s="1">
        <f t="shared" si="0"/>
        <v>0</v>
      </c>
      <c r="F24" s="11"/>
    </row>
    <row r="25" spans="1:12" x14ac:dyDescent="0.15">
      <c r="A25" s="1">
        <v>1</v>
      </c>
      <c r="B25" s="1">
        <f>IF(A25=3,1,0)</f>
        <v>0</v>
      </c>
      <c r="C25" s="1">
        <f t="shared" si="0"/>
        <v>0</v>
      </c>
      <c r="F25" s="11"/>
    </row>
    <row r="26" spans="1:12" ht="14.25" thickBot="1" x14ac:dyDescent="0.2">
      <c r="A26" s="1">
        <v>1</v>
      </c>
      <c r="B26" s="92">
        <f>IF(A26=3,1,0)</f>
        <v>0</v>
      </c>
      <c r="C26" s="92">
        <f t="shared" si="0"/>
        <v>0</v>
      </c>
      <c r="D26" s="93" t="s">
        <v>153</v>
      </c>
      <c r="E26" s="6" t="s">
        <v>152</v>
      </c>
      <c r="F26" s="11"/>
    </row>
    <row r="27" spans="1:12" ht="14.25" thickBot="1" x14ac:dyDescent="0.2">
      <c r="B27" s="96">
        <f>SUM(B22:B26)</f>
        <v>1</v>
      </c>
      <c r="C27" s="95">
        <f>SUM(C22:C26)</f>
        <v>1</v>
      </c>
      <c r="D27" s="94">
        <f>COUNTIF(試算シート!C5:C9, "◎")</f>
        <v>2</v>
      </c>
      <c r="F27" s="11"/>
    </row>
    <row r="28" spans="1:12" x14ac:dyDescent="0.15">
      <c r="A28" s="21"/>
      <c r="B28" s="11"/>
      <c r="D28" s="11"/>
      <c r="F28" s="11"/>
      <c r="G28" s="1" t="s">
        <v>98</v>
      </c>
    </row>
    <row r="29" spans="1:12" x14ac:dyDescent="0.15">
      <c r="A29" s="22" t="s">
        <v>70</v>
      </c>
      <c r="B29" s="22" t="s">
        <v>71</v>
      </c>
      <c r="C29" s="22" t="s">
        <v>72</v>
      </c>
      <c r="D29" s="22" t="s">
        <v>73</v>
      </c>
      <c r="E29" s="23" t="s">
        <v>74</v>
      </c>
      <c r="F29" s="24"/>
      <c r="G29" s="1" t="str">
        <f>IF(C27=0,"",IF(H20&lt;=G6,7,IF(H20&lt;=H6,5,IF(H20&lt;=I6,2,""))))</f>
        <v/>
      </c>
      <c r="H29" s="5" t="s">
        <v>164</v>
      </c>
    </row>
    <row r="30" spans="1:12" x14ac:dyDescent="0.15">
      <c r="A30" s="25">
        <f>I10*$B$2</f>
        <v>0</v>
      </c>
      <c r="B30" s="25">
        <f>ROUNDDOWN((J10*$B$3),0)</f>
        <v>0</v>
      </c>
      <c r="C30" s="25">
        <f>$B$4*E30/12</f>
        <v>0</v>
      </c>
      <c r="D30" s="25">
        <f>IF($C$27=0,0,$B$5*$D$1/12*E30/($E$30+$E$31+$E$32+$E$33+$E$34))</f>
        <v>0</v>
      </c>
      <c r="E30" s="26">
        <f>IF($A$22&gt;1,12,0)</f>
        <v>0</v>
      </c>
      <c r="F30" s="27"/>
      <c r="G30" s="1" t="s">
        <v>99</v>
      </c>
    </row>
    <row r="31" spans="1:12" x14ac:dyDescent="0.15">
      <c r="A31" s="25">
        <f>I12*B2</f>
        <v>25187.824439999997</v>
      </c>
      <c r="B31" s="25">
        <f>ROUNDDOWN((J12*$B$3),0)</f>
        <v>0</v>
      </c>
      <c r="C31" s="25">
        <f>$B$4*E31/12</f>
        <v>35000</v>
      </c>
      <c r="D31" s="25">
        <f>IF($C$27=0,0,$B$5*$D$1/12*E31/($E$30+$E$31+$E$32+$E$33+$E$34))</f>
        <v>23000</v>
      </c>
      <c r="E31" s="26">
        <f>IF($A$23&gt;1,12,0)</f>
        <v>12</v>
      </c>
      <c r="F31" s="27"/>
      <c r="G31" s="17">
        <f>IF(G29="",0,C35*G29/10)</f>
        <v>0</v>
      </c>
    </row>
    <row r="32" spans="1:12" x14ac:dyDescent="0.15">
      <c r="A32" s="25">
        <f>I14*B2</f>
        <v>0</v>
      </c>
      <c r="B32" s="25">
        <f>ROUNDDOWN((J14*$B$3),0)</f>
        <v>0</v>
      </c>
      <c r="C32" s="25">
        <f t="shared" ref="C32:C34" si="1">$B$4*E32/12</f>
        <v>0</v>
      </c>
      <c r="D32" s="25">
        <f t="shared" ref="D32:D34" si="2">IF($C$27=0,0,$B$5*$D$1/12*E32/($E$30+$E$31+$E$32+$E$33+$E$34))</f>
        <v>0</v>
      </c>
      <c r="E32" s="26">
        <f>IF($A$24&gt;1,12,0)</f>
        <v>0</v>
      </c>
      <c r="F32" s="27"/>
      <c r="G32" s="1" t="s">
        <v>100</v>
      </c>
    </row>
    <row r="33" spans="1:9" x14ac:dyDescent="0.15">
      <c r="A33" s="25">
        <f>I16*B2</f>
        <v>0</v>
      </c>
      <c r="B33" s="25">
        <f>ROUNDDOWN((J16*$B$3),0)</f>
        <v>0</v>
      </c>
      <c r="C33" s="25">
        <f t="shared" si="1"/>
        <v>0</v>
      </c>
      <c r="D33" s="25">
        <f t="shared" si="2"/>
        <v>0</v>
      </c>
      <c r="E33" s="26">
        <f>IF($A$25&gt;1,12,0)</f>
        <v>0</v>
      </c>
      <c r="F33" s="27"/>
      <c r="G33" s="17">
        <f>IF(G29="",0,D35*G29/10)</f>
        <v>0</v>
      </c>
    </row>
    <row r="34" spans="1:9" x14ac:dyDescent="0.15">
      <c r="A34" s="25">
        <f>I18*B2</f>
        <v>0</v>
      </c>
      <c r="B34" s="25">
        <f>ROUNDDOWN((J18*$B$3),0)</f>
        <v>0</v>
      </c>
      <c r="C34" s="25">
        <f t="shared" si="1"/>
        <v>0</v>
      </c>
      <c r="D34" s="25">
        <f t="shared" si="2"/>
        <v>0</v>
      </c>
      <c r="E34" s="26">
        <f>IF($A$26&gt;1,12,0)</f>
        <v>0</v>
      </c>
      <c r="F34" s="25"/>
      <c r="G34" s="1"/>
    </row>
    <row r="35" spans="1:9" x14ac:dyDescent="0.15">
      <c r="A35" s="25">
        <f>SUM(A30:A34)</f>
        <v>25187.824439999997</v>
      </c>
      <c r="B35" s="25">
        <f t="shared" ref="B35:C35" si="3">SUM(B30:B34)</f>
        <v>0</v>
      </c>
      <c r="C35" s="25">
        <f t="shared" si="3"/>
        <v>35000</v>
      </c>
      <c r="D35" s="25">
        <f>SUM(D30:D34)</f>
        <v>23000</v>
      </c>
      <c r="E35" s="25">
        <f>IF(D1=12,A35+B35+C35+D35,F30+F31+F32+F33+F34)</f>
        <v>83187.824439999997</v>
      </c>
      <c r="F35" s="25" t="str">
        <f>IF(B6&gt;A35+B35+C35+D35,"OK","NG")</f>
        <v>OK</v>
      </c>
      <c r="G35" s="17">
        <f>IF(E35&gt;B6,B6,E35)</f>
        <v>83187.824439999997</v>
      </c>
      <c r="H35" s="25">
        <f>E35-G35</f>
        <v>0</v>
      </c>
      <c r="I35" s="6" t="s">
        <v>101</v>
      </c>
    </row>
    <row r="37" spans="1:9" x14ac:dyDescent="0.15">
      <c r="A37" s="22" t="s">
        <v>84</v>
      </c>
      <c r="B37" s="22" t="s">
        <v>85</v>
      </c>
      <c r="C37" s="22" t="s">
        <v>86</v>
      </c>
      <c r="D37" s="22" t="s">
        <v>87</v>
      </c>
      <c r="E37" s="23" t="s">
        <v>88</v>
      </c>
      <c r="F37" s="28"/>
    </row>
    <row r="38" spans="1:9" x14ac:dyDescent="0.15">
      <c r="A38" s="25">
        <f>I10*D2</f>
        <v>0</v>
      </c>
      <c r="B38" s="25">
        <f>ROUNDDOWN((D3*$J$10),0)</f>
        <v>0</v>
      </c>
      <c r="C38" s="25">
        <f>$D$4*E38/12</f>
        <v>0</v>
      </c>
      <c r="D38" s="25">
        <f>IF($C$27=0,0,$D$5*$D$1/12*E38/($E$38+$E$39+$E$40+$E$41+$E$42))</f>
        <v>0</v>
      </c>
      <c r="E38" s="26">
        <f>IF($A$22&gt;1,12,0)</f>
        <v>0</v>
      </c>
      <c r="F38" s="25"/>
      <c r="G38" s="29" t="s">
        <v>99</v>
      </c>
    </row>
    <row r="39" spans="1:9" x14ac:dyDescent="0.15">
      <c r="A39" s="25">
        <f>I12*D2</f>
        <v>8692.6920000000009</v>
      </c>
      <c r="B39" s="25">
        <f>ROUNDDOWN((D3*J12),0)</f>
        <v>0</v>
      </c>
      <c r="C39" s="25">
        <f>$D$4*E39/12</f>
        <v>11500</v>
      </c>
      <c r="D39" s="25">
        <f>IF($C$27=0,0,$D$5*$D$1/12*E39/($E$38+$E$39+$E$40+$E$41+$E$42))</f>
        <v>7000</v>
      </c>
      <c r="E39" s="26">
        <f>IF($A$23&gt;1,12,0)</f>
        <v>12</v>
      </c>
      <c r="F39" s="25"/>
      <c r="G39" s="17">
        <f>IF(G29="",0,C43*G29/10)</f>
        <v>0</v>
      </c>
    </row>
    <row r="40" spans="1:9" x14ac:dyDescent="0.15">
      <c r="A40" s="25">
        <f>I14*D2</f>
        <v>0</v>
      </c>
      <c r="B40" s="25">
        <f>ROUNDDOWN((D3*J14),0)</f>
        <v>0</v>
      </c>
      <c r="C40" s="25">
        <f t="shared" ref="C40:C41" si="4">$D$4*E40/12</f>
        <v>0</v>
      </c>
      <c r="D40" s="25">
        <f>IF($C$27=0,0,$D$5*$D$1/12*E40/($E$38+$E$39+$E$40+$E$41+$E$42))</f>
        <v>0</v>
      </c>
      <c r="E40" s="26">
        <f>IF($A$24&gt;1,12,0)</f>
        <v>0</v>
      </c>
      <c r="F40" s="25"/>
      <c r="G40" s="1" t="s">
        <v>100</v>
      </c>
    </row>
    <row r="41" spans="1:9" x14ac:dyDescent="0.15">
      <c r="A41" s="25">
        <f>I16*D2</f>
        <v>0</v>
      </c>
      <c r="B41" s="25">
        <f>ROUNDDOWN((D3*J16),0)</f>
        <v>0</v>
      </c>
      <c r="C41" s="25">
        <f t="shared" si="4"/>
        <v>0</v>
      </c>
      <c r="D41" s="25">
        <f>IF($C$27=0,0,$D$5*$D$1/12*E41/($E$38+$E$39+$E$40+$E$41+$E$42))</f>
        <v>0</v>
      </c>
      <c r="E41" s="26">
        <f>IF($A$25&gt;1,12,0)</f>
        <v>0</v>
      </c>
      <c r="F41" s="25"/>
      <c r="G41" s="17">
        <f>IF(G29="",0,D43*G29/10)</f>
        <v>0</v>
      </c>
    </row>
    <row r="42" spans="1:9" x14ac:dyDescent="0.15">
      <c r="A42" s="25">
        <f>I18*D2</f>
        <v>0</v>
      </c>
      <c r="B42" s="25">
        <f>ROUNDDOWN((D3*J18),0)</f>
        <v>0</v>
      </c>
      <c r="C42" s="25">
        <f>$D$4*E42/12</f>
        <v>0</v>
      </c>
      <c r="D42" s="25">
        <f>IF($C$27=0,0,$D$5*$D$1/12*E42/($E$38+$E$39+$E$40+$E$41+$E$42))</f>
        <v>0</v>
      </c>
      <c r="E42" s="26">
        <f>IF($A$26&gt;1,12,0)</f>
        <v>0</v>
      </c>
      <c r="F42" s="25"/>
      <c r="G42" s="18"/>
    </row>
    <row r="43" spans="1:9" x14ac:dyDescent="0.15">
      <c r="A43" s="25">
        <f>SUM(A38:A42)</f>
        <v>8692.6920000000009</v>
      </c>
      <c r="B43" s="25">
        <f>SUM(B38:B42)</f>
        <v>0</v>
      </c>
      <c r="C43" s="25">
        <f t="shared" ref="C43:D43" si="5">SUM(C38:C42)</f>
        <v>11500</v>
      </c>
      <c r="D43" s="25">
        <f t="shared" si="5"/>
        <v>7000</v>
      </c>
      <c r="E43" s="25">
        <f>IF(D1=12,A43+B43+C43+D43,F38+F39+F40+F41+F42)</f>
        <v>27192.692000000003</v>
      </c>
      <c r="F43" s="25" t="str">
        <f>IF(D6&gt;A43+B43+C43+D43,"OK","NG")</f>
        <v>OK</v>
      </c>
      <c r="G43" s="17">
        <f>IF(E43&gt;D6,D6,E43)</f>
        <v>27192.692000000003</v>
      </c>
      <c r="H43" s="17">
        <f>E43-G43</f>
        <v>0</v>
      </c>
      <c r="I43" s="6" t="s">
        <v>101</v>
      </c>
    </row>
    <row r="45" spans="1:9" x14ac:dyDescent="0.15">
      <c r="A45" s="22" t="s">
        <v>89</v>
      </c>
      <c r="B45" s="22" t="s">
        <v>90</v>
      </c>
      <c r="C45" s="22" t="s">
        <v>91</v>
      </c>
      <c r="D45" s="22" t="s">
        <v>92</v>
      </c>
      <c r="E45" s="23" t="s">
        <v>93</v>
      </c>
      <c r="F45" s="28"/>
    </row>
    <row r="46" spans="1:9" x14ac:dyDescent="0.15">
      <c r="A46" s="25">
        <f>IF(E46=0,0,$F$2*I10)</f>
        <v>0</v>
      </c>
      <c r="B46" s="25">
        <f>IF(E46=0,0,ROUNDDOWN(($F$3*J10),0))</f>
        <v>0</v>
      </c>
      <c r="C46" s="25">
        <f>$F$4*E46/12</f>
        <v>0</v>
      </c>
      <c r="D46" s="25">
        <f>IF(E46+$E$47+$E$48+$E$49+$E$50=0,0,$F$5*$F$1/12*E46/($E$46+$E$47+$E$48+$E$49+$E$50))</f>
        <v>0</v>
      </c>
      <c r="E46" s="26">
        <f>IF($A$22=3,12,0)</f>
        <v>0</v>
      </c>
      <c r="F46" s="25"/>
      <c r="G46" s="1" t="s">
        <v>102</v>
      </c>
    </row>
    <row r="47" spans="1:9" x14ac:dyDescent="0.15">
      <c r="A47" s="25">
        <f>IF(E47=0,0,$F$2*I12)</f>
        <v>6294.7080000000005</v>
      </c>
      <c r="B47" s="25">
        <f>IF(E47=0,0,ROUNDDOWN(($F$3*J12),0))</f>
        <v>0</v>
      </c>
      <c r="C47" s="25">
        <f>$F$4*E47/12</f>
        <v>11000</v>
      </c>
      <c r="D47" s="25">
        <f>IF(E47+$E$47+$E$48+$E$49+$E$50=0,0,$F$5*$F$1/12*E47/($E$46+$E$47+$E$48+$E$49+$E$50))</f>
        <v>6000</v>
      </c>
      <c r="E47" s="26">
        <f>IF($A$23=3,12,0)</f>
        <v>12</v>
      </c>
      <c r="F47" s="25"/>
      <c r="G47" s="17">
        <f>IF(G29="",0,C51*G29/10)</f>
        <v>0</v>
      </c>
    </row>
    <row r="48" spans="1:9" x14ac:dyDescent="0.15">
      <c r="A48" s="25">
        <f>IF(E48=0,0,$F$2*I14)</f>
        <v>0</v>
      </c>
      <c r="B48" s="25">
        <f>IF(E48=0,0,ROUNDDOWN(($F$3*J14),0))</f>
        <v>0</v>
      </c>
      <c r="C48" s="25">
        <f>$F$4*E48/12</f>
        <v>0</v>
      </c>
      <c r="D48" s="25">
        <f>IF(E48+$E$47+$E$48+$E$49+$E$50=0,0,$F$5*$F$1/12*E48/($E$46+$E$47+$E$48+$E$49+$E$50))</f>
        <v>0</v>
      </c>
      <c r="E48" s="26">
        <f>IF($A$24=3,12,0)</f>
        <v>0</v>
      </c>
      <c r="F48" s="25"/>
      <c r="G48" s="1" t="s">
        <v>103</v>
      </c>
    </row>
    <row r="49" spans="1:9" x14ac:dyDescent="0.15">
      <c r="A49" s="25">
        <f>IF(E49=0,0,$F$2*I16)</f>
        <v>0</v>
      </c>
      <c r="B49" s="25">
        <f>IF(E49=0,0,ROUNDDOWN(($F$3*J16),0))</f>
        <v>0</v>
      </c>
      <c r="C49" s="25">
        <f>$F$4*E49/12</f>
        <v>0</v>
      </c>
      <c r="D49" s="25">
        <f>IF(E49+$E$47+$E$48+$E$49+$E$50=0,0,$F$5*$F$1/12*E49/($E$46+$E$47+$E$48+$E$49+$E$50))</f>
        <v>0</v>
      </c>
      <c r="E49" s="26">
        <f>IF($A$25=3,12,0)</f>
        <v>0</v>
      </c>
      <c r="F49" s="25"/>
      <c r="G49" s="17">
        <f>IF(G29="",0,D51*G29/10)</f>
        <v>0</v>
      </c>
    </row>
    <row r="50" spans="1:9" x14ac:dyDescent="0.15">
      <c r="A50" s="25">
        <f>IF(E50=0,0,$F$2*I18)</f>
        <v>0</v>
      </c>
      <c r="B50" s="25">
        <f>IF(E50=0,0,ROUNDDOWN(($F$3*J18),0))</f>
        <v>0</v>
      </c>
      <c r="C50" s="25">
        <f>$F$4*E50/12</f>
        <v>0</v>
      </c>
      <c r="D50" s="25">
        <f>IF(E50+$E$47+$E$48+$E$49+$E$50=0,0,$F$5*$F$1/12*E50/($E$46+$E$47+$E$48+$E$49+$E$50))</f>
        <v>0</v>
      </c>
      <c r="E50" s="26">
        <f>IF($A$26=3,12,0)</f>
        <v>0</v>
      </c>
      <c r="F50" s="25"/>
    </row>
    <row r="51" spans="1:9" x14ac:dyDescent="0.15">
      <c r="A51" s="25">
        <f>SUM(A46:A50)</f>
        <v>6294.7080000000005</v>
      </c>
      <c r="B51" s="25">
        <f t="shared" ref="B51:C51" si="6">SUM(B46:B50)</f>
        <v>0</v>
      </c>
      <c r="C51" s="25">
        <f t="shared" si="6"/>
        <v>11000</v>
      </c>
      <c r="D51" s="25">
        <f>SUM(D46:D50)</f>
        <v>6000</v>
      </c>
      <c r="E51" s="25">
        <f>IF(D1=12,A51+B51+C51+D51,F46+F47+F48+F49+F50)</f>
        <v>23294.707999999999</v>
      </c>
      <c r="F51" s="25" t="str">
        <f>IF(F6&gt;A51+B51+C51+D51,"OK","NG")</f>
        <v>OK</v>
      </c>
      <c r="G51" s="17">
        <f>IF(E51&gt;F6,F6,E51)</f>
        <v>23294.707999999999</v>
      </c>
      <c r="H51" s="25">
        <f>E51-G51</f>
        <v>0</v>
      </c>
      <c r="I51" s="6" t="s">
        <v>101</v>
      </c>
    </row>
  </sheetData>
  <mergeCells count="51">
    <mergeCell ref="C10:C11"/>
    <mergeCell ref="C12:C13"/>
    <mergeCell ref="C18:C19"/>
    <mergeCell ref="C16:C17"/>
    <mergeCell ref="C14:C15"/>
    <mergeCell ref="D9:E9"/>
    <mergeCell ref="D18:D19"/>
    <mergeCell ref="D16:D17"/>
    <mergeCell ref="D14:D15"/>
    <mergeCell ref="D12:D13"/>
    <mergeCell ref="D10:D11"/>
    <mergeCell ref="E18:E19"/>
    <mergeCell ref="E16:E17"/>
    <mergeCell ref="E14:E15"/>
    <mergeCell ref="E12:E13"/>
    <mergeCell ref="E10:E11"/>
    <mergeCell ref="H10:H11"/>
    <mergeCell ref="G10:G11"/>
    <mergeCell ref="F10:F11"/>
    <mergeCell ref="H18:H19"/>
    <mergeCell ref="G18:G19"/>
    <mergeCell ref="F18:F19"/>
    <mergeCell ref="H16:H17"/>
    <mergeCell ref="G16:G17"/>
    <mergeCell ref="F16:F17"/>
    <mergeCell ref="H14:H15"/>
    <mergeCell ref="G14:G15"/>
    <mergeCell ref="F14:F15"/>
    <mergeCell ref="H12:H13"/>
    <mergeCell ref="G12:G13"/>
    <mergeCell ref="F12:F13"/>
    <mergeCell ref="I18:I19"/>
    <mergeCell ref="I16:I17"/>
    <mergeCell ref="I14:I15"/>
    <mergeCell ref="I12:I13"/>
    <mergeCell ref="I10:I11"/>
    <mergeCell ref="J18:J19"/>
    <mergeCell ref="J16:J17"/>
    <mergeCell ref="J14:J15"/>
    <mergeCell ref="J12:J13"/>
    <mergeCell ref="J10:J11"/>
    <mergeCell ref="K18:K19"/>
    <mergeCell ref="K16:K17"/>
    <mergeCell ref="K14:K15"/>
    <mergeCell ref="K12:K13"/>
    <mergeCell ref="K10:K11"/>
    <mergeCell ref="L18:L19"/>
    <mergeCell ref="L16:L17"/>
    <mergeCell ref="L14:L15"/>
    <mergeCell ref="L12:L13"/>
    <mergeCell ref="L10:L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試算シート</vt:lpstr>
      <vt:lpstr>① 算定基礎データ</vt:lpstr>
      <vt:lpstr>② 計算シート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立田 清治</dc:creator>
  <cp:lastModifiedBy>金出 侑佳</cp:lastModifiedBy>
  <cp:lastPrinted>2025-03-10T07:40:52Z</cp:lastPrinted>
  <dcterms:created xsi:type="dcterms:W3CDTF">2016-01-21T00:11:51Z</dcterms:created>
  <dcterms:modified xsi:type="dcterms:W3CDTF">2025-03-10T07:43:39Z</dcterms:modified>
</cp:coreProperties>
</file>